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firstSheet="2" activeTab="3"/>
  </bookViews>
  <sheets>
    <sheet name="GALS  PIGARS" sheetId="1" r:id="rId1"/>
    <sheet name="Provincias todas" sheetId="2" r:id="rId2"/>
    <sheet name=" municipaliddes con PIGARS" sheetId="3" r:id="rId3"/>
    <sheet name="Arequipa" sheetId="4" r:id="rId4"/>
    <sheet name="Callao" sheetId="5" r:id="rId5"/>
    <sheet name="Huancayo" sheetId="6" r:id="rId6"/>
    <sheet name="VMT" sheetId="7" r:id="rId7"/>
    <sheet name="Cusco" sheetId="8" r:id="rId8"/>
    <sheet name="SJM" sheetId="9" r:id="rId9"/>
    <sheet name="Tacna" sheetId="10" r:id="rId10"/>
    <sheet name="Puno" sheetId="11" r:id="rId11"/>
    <sheet name="La victoria" sheetId="12" r:id="rId12"/>
    <sheet name="Pasco" sheetId="13" r:id="rId13"/>
    <sheet name="Tarata" sheetId="14" r:id="rId14"/>
    <sheet name="Pisco" sheetId="15" r:id="rId15"/>
    <sheet name="Tayacaja" sheetId="16" r:id="rId16"/>
    <sheet name="Ferreñafe" sheetId="17" r:id="rId17"/>
    <sheet name="Satipo" sheetId="18" r:id="rId18"/>
    <sheet name="Huanta" sheetId="19" r:id="rId19"/>
    <sheet name="Mariscal Nieto" sheetId="20" r:id="rId20"/>
    <sheet name="Loreto" sheetId="21" r:id="rId21"/>
    <sheet name="Acobamba" sheetId="22" r:id="rId22"/>
    <sheet name="Lurin" sheetId="23" r:id="rId23"/>
    <sheet name="Huaylas" sheetId="24" r:id="rId24"/>
    <sheet name="Yauli" sheetId="25" r:id="rId25"/>
    <sheet name="Cahuaz" sheetId="26" r:id="rId26"/>
    <sheet name="Junin" sheetId="27" r:id="rId27"/>
    <sheet name="Yungay" sheetId="28" r:id="rId28"/>
  </sheets>
  <definedNames>
    <definedName name="_xlnm._FilterDatabase" localSheetId="1" hidden="1">'Provincias todas'!$D$5:$F$202</definedName>
  </definedNames>
  <calcPr fullCalcOnLoad="1"/>
</workbook>
</file>

<file path=xl/sharedStrings.xml><?xml version="1.0" encoding="utf-8"?>
<sst xmlns="http://schemas.openxmlformats.org/spreadsheetml/2006/main" count="909" uniqueCount="325">
  <si>
    <t xml:space="preserve">Municipalidad Provincial de Carhuaz </t>
  </si>
  <si>
    <t>Municipalidad Provincial de Huaylas - Caraz</t>
  </si>
  <si>
    <t>Municipalidad Provincial de Arequipa</t>
  </si>
  <si>
    <t>Municipalidad Provincial del Cusco</t>
  </si>
  <si>
    <t>Municipalidad Provincial de Acobamba - Huancavelica</t>
  </si>
  <si>
    <t xml:space="preserve">Municipalidad Provincial de Huancayo </t>
  </si>
  <si>
    <t xml:space="preserve">Municipalidad Provincial de Junín </t>
  </si>
  <si>
    <t>Municipalidad Provincial de Satipo</t>
  </si>
  <si>
    <t>Municipalidad Provincial de Ferreñafe</t>
  </si>
  <si>
    <t>Municipalidad Provincial de Yauli - La Oroya</t>
  </si>
  <si>
    <t>Municipalidad Provincial de Pasco</t>
  </si>
  <si>
    <t>Municipalidad Provincial de Puno</t>
  </si>
  <si>
    <t>Municipalidad Provincial de Tacna</t>
  </si>
  <si>
    <t>Municipalidad Provincial de Tarata - Tacna</t>
  </si>
  <si>
    <t xml:space="preserve">Municipalidad Provincial de Pisco </t>
  </si>
  <si>
    <t>Municipalidad Provincial de Mariscal Nieto - Moquegua</t>
  </si>
  <si>
    <t>Municipalidad Provincial del Huanta</t>
  </si>
  <si>
    <t>Paracas</t>
  </si>
  <si>
    <t>San Andres</t>
  </si>
  <si>
    <t>San Clemente</t>
  </si>
  <si>
    <t>Pisco</t>
  </si>
  <si>
    <t>Ocucaje</t>
  </si>
  <si>
    <t>Huanta</t>
  </si>
  <si>
    <t>La Punta</t>
  </si>
  <si>
    <t>Comentarios</t>
  </si>
  <si>
    <t>Callao (Provincial)</t>
  </si>
  <si>
    <t>Municipio</t>
  </si>
  <si>
    <t>Estimación en base a una generación per cápita de 250 gr/dia</t>
  </si>
  <si>
    <t>Población (Hab)</t>
  </si>
  <si>
    <t>Si</t>
  </si>
  <si>
    <t>No</t>
  </si>
  <si>
    <t>Generación de RRSS (Tm/día)</t>
  </si>
  <si>
    <t>Caracterización de RRSS</t>
  </si>
  <si>
    <t>Sechura</t>
  </si>
  <si>
    <t>No se han contabilizado los desechos industriales</t>
  </si>
  <si>
    <t>Incluye RRSS no domiciliarios</t>
  </si>
  <si>
    <r>
      <t>1</t>
    </r>
    <r>
      <rPr>
        <sz val="8"/>
        <rFont val="Arial"/>
        <family val="2"/>
      </rPr>
      <t xml:space="preserve"> Se deben asegurar al menos la recolección de dichos ámbitos según Ley</t>
    </r>
  </si>
  <si>
    <t>22.1</t>
  </si>
  <si>
    <t>Provincia</t>
  </si>
  <si>
    <t>CHACHAPOYAS</t>
  </si>
  <si>
    <t>BAGUA</t>
  </si>
  <si>
    <t>BONGARA</t>
  </si>
  <si>
    <t>CONDORCANQUI</t>
  </si>
  <si>
    <t>LUYA</t>
  </si>
  <si>
    <t>RODRIGUEZ DE MENDOZA</t>
  </si>
  <si>
    <t>UTCUBAMBA</t>
  </si>
  <si>
    <t>HUARAZ</t>
  </si>
  <si>
    <t>AIJA</t>
  </si>
  <si>
    <t>ANTONIO RAYMONDI</t>
  </si>
  <si>
    <t>ASUNCION</t>
  </si>
  <si>
    <t>BOLOGNESI</t>
  </si>
  <si>
    <t>CARHUAZ</t>
  </si>
  <si>
    <t>CARLOS FERMIN FITZCARRALD</t>
  </si>
  <si>
    <t>CASMA</t>
  </si>
  <si>
    <t>CORONGO</t>
  </si>
  <si>
    <t>HUARI</t>
  </si>
  <si>
    <t>HUARMEY</t>
  </si>
  <si>
    <t>HUAYLAS</t>
  </si>
  <si>
    <t>MARISCAL LUZURIAGA</t>
  </si>
  <si>
    <t>OCROS</t>
  </si>
  <si>
    <t>PALLASCA</t>
  </si>
  <si>
    <t>POMABAMBA</t>
  </si>
  <si>
    <t>RECUAY</t>
  </si>
  <si>
    <t>SANTA</t>
  </si>
  <si>
    <t>SIHUAS</t>
  </si>
  <si>
    <t>YUNGAY</t>
  </si>
  <si>
    <t>ABANCAY</t>
  </si>
  <si>
    <t>ANDAHUAYLAS</t>
  </si>
  <si>
    <t>ANTABAMBA</t>
  </si>
  <si>
    <t>AYMARAES</t>
  </si>
  <si>
    <t>COTABAMBAS</t>
  </si>
  <si>
    <t>CHINCHEROS</t>
  </si>
  <si>
    <t>GRAU</t>
  </si>
  <si>
    <t>AREQUIPA</t>
  </si>
  <si>
    <t>CAMANA</t>
  </si>
  <si>
    <t>CARAVELI</t>
  </si>
  <si>
    <t>CASTILLA</t>
  </si>
  <si>
    <t>CAYLLOMA</t>
  </si>
  <si>
    <t>CONDESUYOS</t>
  </si>
  <si>
    <t>ISLAY</t>
  </si>
  <si>
    <t>LA UNION</t>
  </si>
  <si>
    <t>HUAMANGA</t>
  </si>
  <si>
    <t>CANGALLO</t>
  </si>
  <si>
    <t>HUANCA SANCOS</t>
  </si>
  <si>
    <t>HUANTA</t>
  </si>
  <si>
    <t>LA MAR</t>
  </si>
  <si>
    <t>LUCANAS</t>
  </si>
  <si>
    <t>PARINACOCHAS</t>
  </si>
  <si>
    <t>PAUCAR DEL SARA SARA</t>
  </si>
  <si>
    <t>SUCRE</t>
  </si>
  <si>
    <t>VICTOR FAJARDO</t>
  </si>
  <si>
    <t>VILCAS HUAMAN</t>
  </si>
  <si>
    <t>CAJAMARCA</t>
  </si>
  <si>
    <t>CAJABAMBA</t>
  </si>
  <si>
    <t>CELENDIN</t>
  </si>
  <si>
    <t>CHOTA</t>
  </si>
  <si>
    <t>CONTUMAZA</t>
  </si>
  <si>
    <t>CUTERVO</t>
  </si>
  <si>
    <t>HUALGAYOC</t>
  </si>
  <si>
    <t>JAEN</t>
  </si>
  <si>
    <t>SAN IGNACIO</t>
  </si>
  <si>
    <t>SAN MARCOS</t>
  </si>
  <si>
    <t>SAN MIGUEL</t>
  </si>
  <si>
    <t>SAN PABLO</t>
  </si>
  <si>
    <t>SANTA CRUZ</t>
  </si>
  <si>
    <t>CALLAO</t>
  </si>
  <si>
    <t>CUSCO</t>
  </si>
  <si>
    <t>ACOMAYO</t>
  </si>
  <si>
    <t>ANTA</t>
  </si>
  <si>
    <t>CALCA</t>
  </si>
  <si>
    <t>CANAS</t>
  </si>
  <si>
    <t>CANCHIS</t>
  </si>
  <si>
    <t>CHUMBIVILCAS</t>
  </si>
  <si>
    <t>ESPINAR</t>
  </si>
  <si>
    <t>LA CONVENCION</t>
  </si>
  <si>
    <t>PARURO</t>
  </si>
  <si>
    <t>PAUCARTAMBO</t>
  </si>
  <si>
    <t>QUISPICANCHI</t>
  </si>
  <si>
    <t>URUBAMBA</t>
  </si>
  <si>
    <t>HUANCAVELICA</t>
  </si>
  <si>
    <t>ACOBAMBA</t>
  </si>
  <si>
    <t>ANGARAES</t>
  </si>
  <si>
    <t>CASTROVIRREYNA</t>
  </si>
  <si>
    <t>CHURCAMPA</t>
  </si>
  <si>
    <t>HUAYTARA</t>
  </si>
  <si>
    <t>TAYACAJA</t>
  </si>
  <si>
    <t>HUANUCO</t>
  </si>
  <si>
    <t>AMBO</t>
  </si>
  <si>
    <t>DOS DE MAYO</t>
  </si>
  <si>
    <t>HUACAYBAMBA</t>
  </si>
  <si>
    <t>HUAMALIES</t>
  </si>
  <si>
    <t>LEONCIO PRADO</t>
  </si>
  <si>
    <t>MARAÑON</t>
  </si>
  <si>
    <t>PACHITEA</t>
  </si>
  <si>
    <t>PUERTO INCA</t>
  </si>
  <si>
    <t>LAURICOCHA</t>
  </si>
  <si>
    <t>YAROWILCA</t>
  </si>
  <si>
    <t>ICA</t>
  </si>
  <si>
    <t>CHINCHA</t>
  </si>
  <si>
    <t>NAZCA</t>
  </si>
  <si>
    <t>PALPA</t>
  </si>
  <si>
    <t>PISCO</t>
  </si>
  <si>
    <t>HUANCAYO</t>
  </si>
  <si>
    <t>CONCEPCION</t>
  </si>
  <si>
    <t>CHANCHAMAYO</t>
  </si>
  <si>
    <t>JAUJA</t>
  </si>
  <si>
    <t>JUNIN</t>
  </si>
  <si>
    <t>SATIPO</t>
  </si>
  <si>
    <t>TARMA</t>
  </si>
  <si>
    <t>YAULI</t>
  </si>
  <si>
    <t>CHUPACA</t>
  </si>
  <si>
    <t>TRUJILLO</t>
  </si>
  <si>
    <t>ASCOPE</t>
  </si>
  <si>
    <t>BOLIVAR</t>
  </si>
  <si>
    <t>CHEPEN</t>
  </si>
  <si>
    <t>JULCAN</t>
  </si>
  <si>
    <t>OTUZCO</t>
  </si>
  <si>
    <t>PACASMAYO</t>
  </si>
  <si>
    <t>PATAZ</t>
  </si>
  <si>
    <t>SANCHEZ CARRION</t>
  </si>
  <si>
    <t>SANTIAGO DE CHUCO</t>
  </si>
  <si>
    <t>GRAN CHIMU</t>
  </si>
  <si>
    <t>VIRU</t>
  </si>
  <si>
    <t>CHICLAYO</t>
  </si>
  <si>
    <t>FERREÑAFE</t>
  </si>
  <si>
    <t>LAMBAYEQUE</t>
  </si>
  <si>
    <t>LIMA</t>
  </si>
  <si>
    <t>BARRANCA</t>
  </si>
  <si>
    <t>CAJATAMBO</t>
  </si>
  <si>
    <t>CANTA</t>
  </si>
  <si>
    <t>CAÑETE</t>
  </si>
  <si>
    <t>HUARAL</t>
  </si>
  <si>
    <t>HUAROCHIRI</t>
  </si>
  <si>
    <t>HUAURA</t>
  </si>
  <si>
    <t>OYON</t>
  </si>
  <si>
    <t>YAUYOS</t>
  </si>
  <si>
    <t>TEMPORAL POR LIMITES</t>
  </si>
  <si>
    <t>MAYNAS</t>
  </si>
  <si>
    <t>ALTO AMAZONAS</t>
  </si>
  <si>
    <t>LORETO</t>
  </si>
  <si>
    <t>MARISCAL RAMON CASTILLA</t>
  </si>
  <si>
    <t>REQUENA</t>
  </si>
  <si>
    <t>UCAYALI</t>
  </si>
  <si>
    <t>DATEM DEL MARAÑON</t>
  </si>
  <si>
    <t>TAMBOPATA</t>
  </si>
  <si>
    <t>MANU</t>
  </si>
  <si>
    <t>TAHUAMANU</t>
  </si>
  <si>
    <t>MARISCAL NIETO</t>
  </si>
  <si>
    <t>GENERAL SANCHEZ CERRO</t>
  </si>
  <si>
    <t>ILO</t>
  </si>
  <si>
    <t>PASCO</t>
  </si>
  <si>
    <t>DANIEL ALCIDES CARRION</t>
  </si>
  <si>
    <t>OXAPAMPA</t>
  </si>
  <si>
    <t>PIURA</t>
  </si>
  <si>
    <t>AYABACA</t>
  </si>
  <si>
    <t>HUANCABAMBA</t>
  </si>
  <si>
    <t>MORROPON</t>
  </si>
  <si>
    <t>PAITA</t>
  </si>
  <si>
    <t>SULLANA</t>
  </si>
  <si>
    <t>TALARA</t>
  </si>
  <si>
    <t>SECHURA</t>
  </si>
  <si>
    <t>PUNO</t>
  </si>
  <si>
    <t>AZANGARO</t>
  </si>
  <si>
    <t>CARABAYA</t>
  </si>
  <si>
    <t>CHUCUITO</t>
  </si>
  <si>
    <t>EL COLLAO</t>
  </si>
  <si>
    <t>HUANCANE</t>
  </si>
  <si>
    <t>LAMPA</t>
  </si>
  <si>
    <t>MELGAR</t>
  </si>
  <si>
    <t>MOHO</t>
  </si>
  <si>
    <t>SAN ANTONIO DE PUTINA</t>
  </si>
  <si>
    <t>SAN ROMAN</t>
  </si>
  <si>
    <t>SANDIA</t>
  </si>
  <si>
    <t>YUNGUYO</t>
  </si>
  <si>
    <t>MOYOBAMBA</t>
  </si>
  <si>
    <t>BELLAVISTA</t>
  </si>
  <si>
    <t>EL DORADO</t>
  </si>
  <si>
    <t>HUALLAGA</t>
  </si>
  <si>
    <t>LAMAS</t>
  </si>
  <si>
    <t>MARISCAL CACERES</t>
  </si>
  <si>
    <t>PICOTA</t>
  </si>
  <si>
    <t>RIOJA</t>
  </si>
  <si>
    <t>SAN MARTIN</t>
  </si>
  <si>
    <t>TOCACHE</t>
  </si>
  <si>
    <t>TACNA</t>
  </si>
  <si>
    <t>CANDARAVE</t>
  </si>
  <si>
    <t>JORGE BASADRE</t>
  </si>
  <si>
    <t>TARATA</t>
  </si>
  <si>
    <t>TUMBES</t>
  </si>
  <si>
    <t>CONTRALMIRANTE VILLAR</t>
  </si>
  <si>
    <t>ZARUMILLA</t>
  </si>
  <si>
    <t>CORONEL PORTILLO</t>
  </si>
  <si>
    <t>ATALAYA</t>
  </si>
  <si>
    <t>PADRE ABAD</t>
  </si>
  <si>
    <t>PURUS</t>
  </si>
  <si>
    <t>Población
(2005)</t>
  </si>
  <si>
    <t>Generación RRSS/día
 (Tm/día)</t>
  </si>
  <si>
    <t>Total Nacional</t>
  </si>
  <si>
    <t xml:space="preserve">Promedio nacional Generación RRSS </t>
  </si>
  <si>
    <t>Municipalidad Provincial de Tayacaja - Pampas</t>
  </si>
  <si>
    <t>Población</t>
  </si>
  <si>
    <t xml:space="preserve"> Kg/hab-dia</t>
  </si>
  <si>
    <t>Kg/hab-dia</t>
  </si>
  <si>
    <t>Lo</t>
  </si>
  <si>
    <t>Año</t>
  </si>
  <si>
    <t>k</t>
  </si>
  <si>
    <t xml:space="preserve"> m3/Mg</t>
  </si>
  <si>
    <t>W</t>
  </si>
  <si>
    <t>D</t>
  </si>
  <si>
    <t>FE</t>
  </si>
  <si>
    <t>LFG Real (m3/año)</t>
  </si>
  <si>
    <t>LFG real (m3/hr)</t>
  </si>
  <si>
    <t>crec. Pob.</t>
  </si>
  <si>
    <t>t/m3</t>
  </si>
  <si>
    <t>AF</t>
  </si>
  <si>
    <t>MD pro,y (tCH4/año)</t>
  </si>
  <si>
    <t>MD reg,y (tCH4/año)</t>
  </si>
  <si>
    <t>GWP CH4</t>
  </si>
  <si>
    <t>Total</t>
  </si>
  <si>
    <t>Ery
 (tCO2eq)</t>
  </si>
  <si>
    <t>Generación Residuos
(t/dia)</t>
  </si>
  <si>
    <t>Generación Residuos
(t/año)</t>
  </si>
  <si>
    <t>LFG
 (m3/año)</t>
  </si>
  <si>
    <t>Cobertura estimada 
(%)</t>
  </si>
  <si>
    <t>Parámetros</t>
  </si>
  <si>
    <t>Año de inicio de operación</t>
  </si>
  <si>
    <t>Año 1</t>
  </si>
  <si>
    <t>Municipalidad Distrital de Yungay</t>
  </si>
  <si>
    <t>(t/día)</t>
  </si>
  <si>
    <t>Municipalidad Distrital de  Villa María del Triunfo*</t>
  </si>
  <si>
    <t>Municipalidad Provincial del Callao*</t>
  </si>
  <si>
    <t>Municipalidad Distrital de San Juan de Miraflores*</t>
  </si>
  <si>
    <t>Municipalidad Distrital de la Victoria*</t>
  </si>
  <si>
    <t>Municipalidad Distrital de Lurín*</t>
  </si>
  <si>
    <t>Costo sistema LFG/ ton</t>
  </si>
  <si>
    <t>Costo Relleno /ton</t>
  </si>
  <si>
    <t>Año 3</t>
  </si>
  <si>
    <t>Año 4</t>
  </si>
  <si>
    <t>Año 5</t>
  </si>
  <si>
    <t>Año 6</t>
  </si>
  <si>
    <t>Año 7</t>
  </si>
  <si>
    <t>Generacion de residuos durante el programa</t>
  </si>
  <si>
    <t>S/.</t>
  </si>
  <si>
    <t>Ingresos adicionales CREs</t>
  </si>
  <si>
    <t>Generación de residuos año 2005</t>
  </si>
  <si>
    <t>Costo estimado de construcción*</t>
  </si>
  <si>
    <t>* Costos son para los años de funcionamiento</t>
  </si>
  <si>
    <t xml:space="preserve"> </t>
  </si>
  <si>
    <t>Año 2</t>
  </si>
  <si>
    <t>Año 8</t>
  </si>
  <si>
    <t>Año 9</t>
  </si>
  <si>
    <t>Año 10</t>
  </si>
  <si>
    <t>Año 11</t>
  </si>
  <si>
    <t>Año 12</t>
  </si>
  <si>
    <t>Año 13</t>
  </si>
  <si>
    <t>Año 14</t>
  </si>
  <si>
    <t>Año 15</t>
  </si>
  <si>
    <t>Año 16</t>
  </si>
  <si>
    <t>Año 17</t>
  </si>
  <si>
    <t>Año 18</t>
  </si>
  <si>
    <t>Año 19</t>
  </si>
  <si>
    <t>Año 20</t>
  </si>
  <si>
    <t>Año 21</t>
  </si>
  <si>
    <t xml:space="preserve">Reduccion </t>
  </si>
  <si>
    <t>VMT</t>
  </si>
  <si>
    <t>SAN JUAN DE MIRAFLORES</t>
  </si>
  <si>
    <t>La Victoria</t>
  </si>
  <si>
    <t>LURIN</t>
  </si>
  <si>
    <t>Costo Total / ton</t>
  </si>
  <si>
    <t xml:space="preserve"> tCO2e</t>
  </si>
  <si>
    <t xml:space="preserve">Reduccion de Emisiones Totales </t>
  </si>
  <si>
    <t>Ingresos adicionales CREs (al cambio , 8 $)</t>
  </si>
  <si>
    <t>Municipalidades con PIGARS</t>
  </si>
  <si>
    <t>Flujo de caja</t>
  </si>
  <si>
    <t>Considerando un retorno al fondo de 10% anual (descontando gastos operativos)</t>
  </si>
  <si>
    <t>Fondo Inicial</t>
  </si>
  <si>
    <t>Pago del Fondo a partir del 5to año</t>
  </si>
  <si>
    <t>Pago anual del prestamo  del fondo</t>
  </si>
  <si>
    <t>Pago del Credito del fondo a entidades financieras</t>
  </si>
  <si>
    <t>A los ejecutores de las actividdes no  se les cobra intereses anuales pero se les castiga con la recuperación de los CRE (aprox 1080000)</t>
  </si>
  <si>
    <t xml:space="preserve">a partir del año 9 se pueden repartir los ingresos por CREs a los ejecutores con los excedentes del saldo de manera equitativa </t>
  </si>
  <si>
    <t>Inversion total</t>
  </si>
  <si>
    <t xml:space="preserve">inversiòn fondo 50% </t>
  </si>
  <si>
    <t>Municipalidad Provincial de Loreto-Nauta</t>
  </si>
  <si>
    <t>Año 22</t>
  </si>
</sst>
</file>

<file path=xl/styles.xml><?xml version="1.0" encoding="utf-8"?>
<styleSheet xmlns="http://schemas.openxmlformats.org/spreadsheetml/2006/main">
  <numFmts count="3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#,##0;&quot;S/.&quot;\-#,##0"/>
    <numFmt numFmtId="165" formatCode="&quot;S/.&quot;#,##0;[Red]&quot;S/.&quot;\-#,##0"/>
    <numFmt numFmtId="166" formatCode="&quot;S/.&quot;#,##0.00;&quot;S/.&quot;\-#,##0.00"/>
    <numFmt numFmtId="167" formatCode="&quot;S/.&quot;#,##0.00;[Red]&quot;S/.&quot;\-#,##0.00"/>
    <numFmt numFmtId="168" formatCode="_ &quot;S/.&quot;* #,##0_ ;_ &quot;S/.&quot;* \-#,##0_ ;_ &quot;S/.&quot;* &quot;-&quot;_ ;_ @_ "/>
    <numFmt numFmtId="169" formatCode="_ &quot;S/.&quot;* #,##0.00_ ;_ &quot;S/.&quot;* \-#,##0.00_ ;_ &quot;S/.&quot;* &quot;-&quot;??_ ;_ @_ 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S/.&quot;\ #,##0_);\(&quot;S/.&quot;\ #,##0\)"/>
    <numFmt numFmtId="179" formatCode="&quot;S/.&quot;\ #,##0_);[Red]\(&quot;S/.&quot;\ #,##0\)"/>
    <numFmt numFmtId="180" formatCode="&quot;S/.&quot;\ #,##0.00_);\(&quot;S/.&quot;\ #,##0.00\)"/>
    <numFmt numFmtId="181" formatCode="&quot;S/.&quot;\ #,##0.00_);[Red]\(&quot;S/.&quot;\ #,##0.00\)"/>
    <numFmt numFmtId="182" formatCode="_(&quot;S/.&quot;\ * #,##0_);_(&quot;S/.&quot;\ * \(#,##0\);_(&quot;S/.&quot;\ * &quot;-&quot;_);_(@_)"/>
    <numFmt numFmtId="183" formatCode="_(* #,##0_);_(* \(#,##0\);_(* &quot;-&quot;_);_(@_)"/>
    <numFmt numFmtId="184" formatCode="_(&quot;S/.&quot;\ * #,##0.00_);_(&quot;S/.&quot;\ * \(#,##0.00\);_(&quot;S/.&quot;\ * &quot;-&quot;??_);_(@_)"/>
    <numFmt numFmtId="185" formatCode="_(* #,##0.00_);_(* \(#,##0.00\);_(* &quot;-&quot;??_);_(@_)"/>
    <numFmt numFmtId="186" formatCode="0.000"/>
    <numFmt numFmtId="187" formatCode="0.0"/>
    <numFmt numFmtId="188" formatCode="0.00000"/>
    <numFmt numFmtId="189" formatCode="0.0000"/>
    <numFmt numFmtId="190" formatCode="0.000000"/>
    <numFmt numFmtId="191" formatCode="&quot;Sí&quot;;&quot;Sí&quot;;&quot;No&quot;"/>
    <numFmt numFmtId="192" formatCode="&quot;Verdadero&quot;;&quot;Verdadero&quot;;&quot;Falso&quot;"/>
    <numFmt numFmtId="193" formatCode="&quot;Activado&quot;;&quot;Activado&quot;;&quot;Desactivado&quot;"/>
    <numFmt numFmtId="194" formatCode="0.0000000"/>
  </numFmts>
  <fonts count="49">
    <font>
      <sz val="10"/>
      <name val="Arial"/>
      <family val="0"/>
    </font>
    <font>
      <b/>
      <sz val="10"/>
      <name val="Trebuchet MS"/>
      <family val="2"/>
    </font>
    <font>
      <b/>
      <sz val="10"/>
      <name val="Arial"/>
      <family val="2"/>
    </font>
    <font>
      <sz val="9"/>
      <name val="Trebuchet MS"/>
      <family val="2"/>
    </font>
    <font>
      <b/>
      <sz val="11"/>
      <name val="Trebuchet MS"/>
      <family val="2"/>
    </font>
    <font>
      <sz val="10"/>
      <name val="Trebuchet MS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43"/>
      <name val="Arial"/>
      <family val="2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0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top" wrapText="1"/>
    </xf>
    <xf numFmtId="0" fontId="10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8" fillId="0" borderId="10" xfId="0" applyFont="1" applyBorder="1" applyAlignment="1">
      <alignment horizontal="center" vertical="top" wrapText="1"/>
    </xf>
    <xf numFmtId="2" fontId="8" fillId="0" borderId="10" xfId="0" applyNumberFormat="1" applyFont="1" applyBorder="1" applyAlignment="1">
      <alignment horizontal="center" vertical="top" wrapText="1"/>
    </xf>
    <xf numFmtId="0" fontId="9" fillId="33" borderId="11" xfId="0" applyFont="1" applyFill="1" applyBorder="1" applyAlignment="1">
      <alignment horizontal="center" vertical="top" wrapText="1"/>
    </xf>
    <xf numFmtId="0" fontId="9" fillId="33" borderId="12" xfId="0" applyFont="1" applyFill="1" applyBorder="1" applyAlignment="1">
      <alignment horizontal="center" vertical="top" wrapText="1"/>
    </xf>
    <xf numFmtId="0" fontId="9" fillId="33" borderId="13" xfId="0" applyFont="1" applyFill="1" applyBorder="1" applyAlignment="1">
      <alignment horizontal="center" vertical="top" wrapText="1"/>
    </xf>
    <xf numFmtId="0" fontId="9" fillId="33" borderId="14" xfId="0" applyFont="1" applyFill="1" applyBorder="1" applyAlignment="1">
      <alignment horizontal="center" vertical="top" wrapText="1"/>
    </xf>
    <xf numFmtId="0" fontId="8" fillId="0" borderId="15" xfId="0" applyFont="1" applyBorder="1" applyAlignment="1">
      <alignment vertical="top" wrapText="1"/>
    </xf>
    <xf numFmtId="0" fontId="8" fillId="0" borderId="16" xfId="0" applyFont="1" applyBorder="1" applyAlignment="1">
      <alignment horizontal="center" vertical="top" wrapText="1"/>
    </xf>
    <xf numFmtId="0" fontId="8" fillId="0" borderId="11" xfId="0" applyFont="1" applyBorder="1" applyAlignment="1">
      <alignment vertical="top"/>
    </xf>
    <xf numFmtId="0" fontId="8" fillId="0" borderId="17" xfId="0" applyFont="1" applyBorder="1" applyAlignment="1">
      <alignment vertical="top" wrapText="1"/>
    </xf>
    <xf numFmtId="3" fontId="8" fillId="0" borderId="18" xfId="0" applyNumberFormat="1" applyFont="1" applyBorder="1" applyAlignment="1">
      <alignment horizontal="center" vertical="top" wrapText="1"/>
    </xf>
    <xf numFmtId="0" fontId="8" fillId="0" borderId="18" xfId="0" applyFont="1" applyBorder="1" applyAlignment="1">
      <alignment horizontal="center" vertical="top" wrapText="1"/>
    </xf>
    <xf numFmtId="0" fontId="8" fillId="0" borderId="19" xfId="0" applyFont="1" applyBorder="1" applyAlignment="1">
      <alignment horizontal="center" vertical="top" wrapText="1"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4" fillId="0" borderId="10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9" fontId="1" fillId="0" borderId="0" xfId="0" applyNumberFormat="1" applyFont="1" applyAlignment="1">
      <alignment horizontal="right"/>
    </xf>
    <xf numFmtId="0" fontId="0" fillId="0" borderId="0" xfId="0" applyAlignment="1">
      <alignment horizontal="center"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 vertical="top"/>
    </xf>
    <xf numFmtId="0" fontId="3" fillId="0" borderId="20" xfId="0" applyFont="1" applyBorder="1" applyAlignment="1">
      <alignment horizontal="left" vertical="top"/>
    </xf>
    <xf numFmtId="0" fontId="3" fillId="0" borderId="21" xfId="0" applyFont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0" fillId="0" borderId="10" xfId="0" applyBorder="1" applyAlignment="1">
      <alignment horizontal="lef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1" fillId="0" borderId="0" xfId="0" applyFont="1" applyAlignment="1">
      <alignment horizontal="center" vertical="center" wrapText="1"/>
    </xf>
    <xf numFmtId="0" fontId="11" fillId="0" borderId="10" xfId="0" applyFont="1" applyBorder="1" applyAlignment="1">
      <alignment/>
    </xf>
    <xf numFmtId="2" fontId="11" fillId="0" borderId="10" xfId="0" applyNumberFormat="1" applyFont="1" applyBorder="1" applyAlignment="1">
      <alignment/>
    </xf>
    <xf numFmtId="1" fontId="11" fillId="0" borderId="10" xfId="0" applyNumberFormat="1" applyFont="1" applyBorder="1" applyAlignment="1">
      <alignment/>
    </xf>
    <xf numFmtId="187" fontId="11" fillId="0" borderId="10" xfId="0" applyNumberFormat="1" applyFont="1" applyBorder="1" applyAlignment="1">
      <alignment/>
    </xf>
    <xf numFmtId="186" fontId="11" fillId="0" borderId="10" xfId="0" applyNumberFormat="1" applyFont="1" applyBorder="1" applyAlignment="1">
      <alignment/>
    </xf>
    <xf numFmtId="1" fontId="11" fillId="0" borderId="0" xfId="0" applyNumberFormat="1" applyFont="1" applyAlignment="1">
      <alignment/>
    </xf>
    <xf numFmtId="15" fontId="12" fillId="0" borderId="0" xfId="0" applyNumberFormat="1" applyFont="1" applyAlignment="1">
      <alignment/>
    </xf>
    <xf numFmtId="0" fontId="12" fillId="0" borderId="10" xfId="0" applyFont="1" applyBorder="1" applyAlignment="1">
      <alignment/>
    </xf>
    <xf numFmtId="1" fontId="12" fillId="0" borderId="10" xfId="0" applyNumberFormat="1" applyFont="1" applyBorder="1" applyAlignment="1">
      <alignment/>
    </xf>
    <xf numFmtId="0" fontId="13" fillId="35" borderId="10" xfId="0" applyFont="1" applyFill="1" applyBorder="1" applyAlignment="1">
      <alignment horizontal="center" vertical="center" wrapText="1"/>
    </xf>
    <xf numFmtId="1" fontId="0" fillId="0" borderId="0" xfId="0" applyNumberFormat="1" applyAlignment="1">
      <alignment/>
    </xf>
    <xf numFmtId="1" fontId="1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1" fontId="2" fillId="0" borderId="0" xfId="0" applyNumberFormat="1" applyFont="1" applyAlignment="1">
      <alignment/>
    </xf>
    <xf numFmtId="1" fontId="0" fillId="36" borderId="0" xfId="0" applyNumberFormat="1" applyFill="1" applyAlignment="1">
      <alignment/>
    </xf>
    <xf numFmtId="0" fontId="8" fillId="34" borderId="0" xfId="0" applyFont="1" applyFill="1" applyAlignment="1">
      <alignment vertical="top" wrapText="1"/>
    </xf>
    <xf numFmtId="1" fontId="0" fillId="0" borderId="0" xfId="0" applyNumberFormat="1" applyFill="1" applyAlignment="1">
      <alignment/>
    </xf>
    <xf numFmtId="1" fontId="0" fillId="0" borderId="0" xfId="0" applyNumberFormat="1" applyFont="1" applyAlignment="1">
      <alignment/>
    </xf>
    <xf numFmtId="1" fontId="2" fillId="36" borderId="0" xfId="0" applyNumberFormat="1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styles" Target="styles.xml" /><Relationship Id="rId30" Type="http://schemas.openxmlformats.org/officeDocument/2006/relationships/sharedStrings" Target="sharedStrings.xml" /><Relationship Id="rId3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8:G30"/>
  <sheetViews>
    <sheetView zoomScalePageLayoutView="0" workbookViewId="0" topLeftCell="A1">
      <selection activeCell="D30" sqref="D30"/>
    </sheetView>
  </sheetViews>
  <sheetFormatPr defaultColWidth="11.421875" defaultRowHeight="12.75"/>
  <cols>
    <col min="1" max="2" width="11.421875" style="3" customWidth="1"/>
    <col min="3" max="3" width="28.57421875" style="3" customWidth="1"/>
    <col min="4" max="4" width="10.7109375" style="3" customWidth="1"/>
    <col min="5" max="5" width="21.140625" style="3" customWidth="1"/>
    <col min="6" max="6" width="13.140625" style="3" bestFit="1" customWidth="1"/>
    <col min="7" max="7" width="40.57421875" style="3" customWidth="1"/>
    <col min="8" max="8" width="13.57421875" style="3" customWidth="1"/>
    <col min="9" max="16384" width="11.421875" style="3" customWidth="1"/>
  </cols>
  <sheetData>
    <row r="7" ht="13.5" customHeight="1" thickBot="1"/>
    <row r="8" spans="3:7" s="4" customFormat="1" ht="22.5">
      <c r="C8" s="10" t="s">
        <v>26</v>
      </c>
      <c r="D8" s="11" t="s">
        <v>28</v>
      </c>
      <c r="E8" s="11" t="s">
        <v>31</v>
      </c>
      <c r="F8" s="12" t="s">
        <v>32</v>
      </c>
      <c r="G8" s="9" t="s">
        <v>24</v>
      </c>
    </row>
    <row r="9" spans="3:7" ht="11.25">
      <c r="C9" s="13" t="s">
        <v>25</v>
      </c>
      <c r="D9" s="7">
        <v>808701</v>
      </c>
      <c r="E9" s="8">
        <v>846.53</v>
      </c>
      <c r="F9" s="14" t="s">
        <v>29</v>
      </c>
      <c r="G9" s="15"/>
    </row>
    <row r="10" spans="3:7" ht="11.25">
      <c r="C10" s="13" t="s">
        <v>23</v>
      </c>
      <c r="D10" s="7">
        <v>6564</v>
      </c>
      <c r="E10" s="8">
        <v>6.25</v>
      </c>
      <c r="F10" s="14" t="s">
        <v>29</v>
      </c>
      <c r="G10" s="15"/>
    </row>
    <row r="11" spans="3:7" ht="11.25">
      <c r="C11" s="13" t="s">
        <v>20</v>
      </c>
      <c r="D11" s="7">
        <v>64824</v>
      </c>
      <c r="E11" s="8">
        <v>59.56</v>
      </c>
      <c r="F11" s="14" t="s">
        <v>30</v>
      </c>
      <c r="G11" s="15"/>
    </row>
    <row r="12" spans="3:7" ht="11.25">
      <c r="C12" s="13" t="s">
        <v>17</v>
      </c>
      <c r="D12" s="7">
        <v>948</v>
      </c>
      <c r="E12" s="8">
        <v>1</v>
      </c>
      <c r="F12" s="14" t="s">
        <v>30</v>
      </c>
      <c r="G12" s="15" t="s">
        <v>34</v>
      </c>
    </row>
    <row r="13" spans="3:7" ht="11.25">
      <c r="C13" s="13" t="s">
        <v>18</v>
      </c>
      <c r="D13" s="7">
        <v>14862</v>
      </c>
      <c r="E13" s="8">
        <v>11.97</v>
      </c>
      <c r="F13" s="14" t="s">
        <v>30</v>
      </c>
      <c r="G13" s="15"/>
    </row>
    <row r="14" spans="3:7" ht="11.25">
      <c r="C14" s="13" t="s">
        <v>19</v>
      </c>
      <c r="D14" s="7">
        <v>17398</v>
      </c>
      <c r="E14" s="8">
        <v>8.08</v>
      </c>
      <c r="F14" s="14" t="s">
        <v>30</v>
      </c>
      <c r="G14" s="15"/>
    </row>
    <row r="15" spans="3:7" ht="11.25">
      <c r="C15" s="13" t="s">
        <v>21</v>
      </c>
      <c r="D15" s="7">
        <v>3700</v>
      </c>
      <c r="E15" s="8">
        <f>22.2/30</f>
        <v>0.74</v>
      </c>
      <c r="F15" s="14" t="s">
        <v>30</v>
      </c>
      <c r="G15" s="15" t="s">
        <v>27</v>
      </c>
    </row>
    <row r="16" spans="3:7" ht="11.25">
      <c r="C16" s="13" t="s">
        <v>22</v>
      </c>
      <c r="D16" s="7">
        <v>24541</v>
      </c>
      <c r="E16" s="7">
        <f>12.76+6.1</f>
        <v>18.86</v>
      </c>
      <c r="F16" s="14" t="s">
        <v>29</v>
      </c>
      <c r="G16" s="15" t="s">
        <v>35</v>
      </c>
    </row>
    <row r="17" spans="3:7" ht="12" thickBot="1">
      <c r="C17" s="16" t="s">
        <v>33</v>
      </c>
      <c r="D17" s="17">
        <v>30828</v>
      </c>
      <c r="E17" s="18" t="s">
        <v>37</v>
      </c>
      <c r="F17" s="19" t="s">
        <v>30</v>
      </c>
      <c r="G17" s="15"/>
    </row>
    <row r="19" s="6" customFormat="1" ht="11.25">
      <c r="C19" s="5" t="s">
        <v>36</v>
      </c>
    </row>
    <row r="30" ht="11.25">
      <c r="D30" s="6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1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224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PIGARS'!E18</f>
        <v>130.26468</v>
      </c>
      <c r="D15" s="47">
        <f aca="true" t="shared" si="0" ref="D15:D35">+C15*365</f>
        <v>47546.6082</v>
      </c>
      <c r="E15" s="47">
        <f>2*$C$3*$C$4*D15*EXP(-1*$C$3*A15)</f>
        <v>154051.01056800003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133.52129699999998</v>
      </c>
      <c r="D16" s="47">
        <f t="shared" si="0"/>
        <v>48735.27340499999</v>
      </c>
      <c r="E16" s="47">
        <f aca="true" t="shared" si="7" ref="E16:E35">2*$C$3*$C$4*D16*EXP(-1*$C$3*A16)+E15</f>
        <v>308826.62165282655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136.85932942499997</v>
      </c>
      <c r="D17" s="47">
        <f t="shared" si="0"/>
        <v>49953.65524012499</v>
      </c>
      <c r="E17" s="47">
        <f t="shared" si="7"/>
        <v>464330.2415145555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140.28081266062495</v>
      </c>
      <c r="D18" s="47">
        <f t="shared" si="0"/>
        <v>51202.496621128106</v>
      </c>
      <c r="E18" s="47">
        <f t="shared" si="7"/>
        <v>620565.2944444919</v>
      </c>
      <c r="F18" s="47">
        <v>95</v>
      </c>
      <c r="G18" s="47">
        <f t="shared" si="1"/>
        <v>589537.0297222673</v>
      </c>
      <c r="H18" s="47">
        <f t="shared" si="2"/>
        <v>67.29874768519034</v>
      </c>
      <c r="I18" s="48">
        <f t="shared" si="3"/>
        <v>206.83317150776026</v>
      </c>
      <c r="J18" s="49">
        <f t="shared" si="4"/>
        <v>10.341658575388013</v>
      </c>
      <c r="K18" s="47">
        <f t="shared" si="5"/>
        <v>4126.321771579817</v>
      </c>
    </row>
    <row r="19" spans="1:11" ht="12">
      <c r="A19" s="42">
        <v>4</v>
      </c>
      <c r="B19" s="45">
        <v>2011</v>
      </c>
      <c r="C19" s="46">
        <f t="shared" si="6"/>
        <v>143.78783297714057</v>
      </c>
      <c r="D19" s="47">
        <f t="shared" si="0"/>
        <v>52482.559036656305</v>
      </c>
      <c r="E19" s="47">
        <f t="shared" si="7"/>
        <v>777535.2208405745</v>
      </c>
      <c r="F19" s="47">
        <v>95</v>
      </c>
      <c r="G19" s="47">
        <f t="shared" si="1"/>
        <v>738658.4597985457</v>
      </c>
      <c r="H19" s="47">
        <f t="shared" si="2"/>
        <v>84.32174198613535</v>
      </c>
      <c r="I19" s="48">
        <f t="shared" si="3"/>
        <v>259.1509340357217</v>
      </c>
      <c r="J19" s="49">
        <f t="shared" si="4"/>
        <v>12.957546701786086</v>
      </c>
      <c r="K19" s="47">
        <f t="shared" si="5"/>
        <v>5170.061134012648</v>
      </c>
    </row>
    <row r="20" spans="1:11" ht="12">
      <c r="A20" s="42">
        <v>5</v>
      </c>
      <c r="B20" s="45">
        <v>2012</v>
      </c>
      <c r="C20" s="46">
        <f t="shared" si="6"/>
        <v>147.38252880156907</v>
      </c>
      <c r="D20" s="47">
        <f t="shared" si="0"/>
        <v>53794.62301257271</v>
      </c>
      <c r="E20" s="47">
        <f t="shared" si="7"/>
        <v>935243.4772831362</v>
      </c>
      <c r="F20" s="47">
        <v>95</v>
      </c>
      <c r="G20" s="47">
        <f t="shared" si="1"/>
        <v>888481.3034189794</v>
      </c>
      <c r="H20" s="47">
        <f t="shared" si="2"/>
        <v>101.42480632636752</v>
      </c>
      <c r="I20" s="48">
        <f t="shared" si="3"/>
        <v>311.71478049151466</v>
      </c>
      <c r="J20" s="49">
        <f t="shared" si="4"/>
        <v>15.585739024575734</v>
      </c>
      <c r="K20" s="47">
        <f t="shared" si="5"/>
        <v>6218.709870805717</v>
      </c>
    </row>
    <row r="21" spans="1:11" ht="12">
      <c r="A21" s="42">
        <v>6</v>
      </c>
      <c r="B21" s="45">
        <v>2013</v>
      </c>
      <c r="C21" s="46">
        <f t="shared" si="6"/>
        <v>151.0670920216083</v>
      </c>
      <c r="D21" s="47">
        <f t="shared" si="0"/>
        <v>55139.48858788703</v>
      </c>
      <c r="E21" s="47">
        <f t="shared" si="7"/>
        <v>1093693.5366110196</v>
      </c>
      <c r="F21" s="47">
        <v>95</v>
      </c>
      <c r="G21" s="47">
        <f t="shared" si="1"/>
        <v>1039008.8597804686</v>
      </c>
      <c r="H21" s="47">
        <f t="shared" si="2"/>
        <v>118.60831732653752</v>
      </c>
      <c r="I21" s="48">
        <f t="shared" si="3"/>
        <v>364.52586836537955</v>
      </c>
      <c r="J21" s="49">
        <f t="shared" si="4"/>
        <v>18.226293418268977</v>
      </c>
      <c r="K21" s="47">
        <f t="shared" si="5"/>
        <v>7272.2910738893215</v>
      </c>
    </row>
    <row r="22" spans="1:11" ht="12">
      <c r="A22" s="42">
        <v>7</v>
      </c>
      <c r="B22" s="45">
        <v>2014</v>
      </c>
      <c r="C22" s="46">
        <f t="shared" si="6"/>
        <v>154.8437693221485</v>
      </c>
      <c r="D22" s="47">
        <f t="shared" si="0"/>
        <v>56517.9758025842</v>
      </c>
      <c r="E22" s="47">
        <f t="shared" si="7"/>
        <v>1252888.887998052</v>
      </c>
      <c r="F22" s="47">
        <v>95</v>
      </c>
      <c r="G22" s="47">
        <f t="shared" si="1"/>
        <v>1190244.4435981493</v>
      </c>
      <c r="H22" s="47">
        <f t="shared" si="2"/>
        <v>135.87265337878418</v>
      </c>
      <c r="I22" s="48">
        <f t="shared" si="3"/>
        <v>417.5853605919747</v>
      </c>
      <c r="J22" s="49">
        <f t="shared" si="4"/>
        <v>20.879268029598734</v>
      </c>
      <c r="K22" s="47">
        <f t="shared" si="5"/>
        <v>8330.827943809894</v>
      </c>
    </row>
    <row r="23" spans="1:11" ht="12">
      <c r="A23" s="42">
        <v>8</v>
      </c>
      <c r="B23" s="45">
        <v>2015</v>
      </c>
      <c r="C23" s="46">
        <f t="shared" si="6"/>
        <v>158.7148635552022</v>
      </c>
      <c r="D23" s="47">
        <f t="shared" si="0"/>
        <v>57930.9251976488</v>
      </c>
      <c r="E23" s="47">
        <f t="shared" si="7"/>
        <v>1412833.037029878</v>
      </c>
      <c r="F23" s="47">
        <v>95</v>
      </c>
      <c r="G23" s="47">
        <f t="shared" si="1"/>
        <v>1342191.3851783841</v>
      </c>
      <c r="H23" s="47">
        <f t="shared" si="2"/>
        <v>153.2181946550667</v>
      </c>
      <c r="I23" s="48">
        <f t="shared" si="3"/>
        <v>470.89442557598426</v>
      </c>
      <c r="J23" s="49">
        <f t="shared" si="4"/>
        <v>23.544721278799216</v>
      </c>
      <c r="K23" s="47">
        <f t="shared" si="5"/>
        <v>9394.343790240886</v>
      </c>
    </row>
    <row r="24" spans="1:11" ht="12">
      <c r="A24" s="42">
        <v>9</v>
      </c>
      <c r="B24" s="45">
        <v>2016</v>
      </c>
      <c r="C24" s="46">
        <f t="shared" si="6"/>
        <v>162.68273514408222</v>
      </c>
      <c r="D24" s="47">
        <f t="shared" si="0"/>
        <v>59379.198327590006</v>
      </c>
      <c r="E24" s="47">
        <f t="shared" si="7"/>
        <v>1573529.5057811562</v>
      </c>
      <c r="F24" s="47">
        <v>95</v>
      </c>
      <c r="G24" s="47">
        <f t="shared" si="1"/>
        <v>1494853.0304920983</v>
      </c>
      <c r="H24" s="47">
        <f t="shared" si="2"/>
        <v>170.64532311553634</v>
      </c>
      <c r="I24" s="48">
        <f t="shared" si="3"/>
        <v>524.4542372178478</v>
      </c>
      <c r="J24" s="49">
        <f t="shared" si="4"/>
        <v>26.22271186089239</v>
      </c>
      <c r="K24" s="47">
        <f t="shared" si="5"/>
        <v>10462.862032496063</v>
      </c>
    </row>
    <row r="25" spans="1:11" ht="12">
      <c r="A25" s="42">
        <v>10</v>
      </c>
      <c r="B25" s="45">
        <v>2017</v>
      </c>
      <c r="C25" s="46">
        <f t="shared" si="6"/>
        <v>166.74980352268426</v>
      </c>
      <c r="D25" s="47">
        <f t="shared" si="0"/>
        <v>60863.67828577975</v>
      </c>
      <c r="E25" s="47">
        <f t="shared" si="7"/>
        <v>1734981.8328931166</v>
      </c>
      <c r="F25" s="47">
        <v>95</v>
      </c>
      <c r="G25" s="47">
        <f t="shared" si="1"/>
        <v>1648232.7412484607</v>
      </c>
      <c r="H25" s="47">
        <f t="shared" si="2"/>
        <v>188.15442251694756</v>
      </c>
      <c r="I25" s="48">
        <f t="shared" si="3"/>
        <v>578.2659749396099</v>
      </c>
      <c r="J25" s="49">
        <f t="shared" si="4"/>
        <v>28.913298746980498</v>
      </c>
      <c r="K25" s="47">
        <f t="shared" si="5"/>
        <v>11536.40620004522</v>
      </c>
    </row>
    <row r="26" spans="1:11" ht="12">
      <c r="A26" s="42">
        <v>11</v>
      </c>
      <c r="B26" s="45">
        <v>2018</v>
      </c>
      <c r="C26" s="46">
        <f t="shared" si="6"/>
        <v>170.91854861075134</v>
      </c>
      <c r="D26" s="47">
        <f t="shared" si="0"/>
        <v>62385.27024292424</v>
      </c>
      <c r="E26" s="47">
        <f t="shared" si="7"/>
        <v>1897193.5736514842</v>
      </c>
      <c r="F26" s="47">
        <v>95</v>
      </c>
      <c r="G26" s="47">
        <f t="shared" si="1"/>
        <v>1802333.89496891</v>
      </c>
      <c r="H26" s="47">
        <f t="shared" si="2"/>
        <v>205.74587842110844</v>
      </c>
      <c r="I26" s="48">
        <f t="shared" si="3"/>
        <v>632.3308237108923</v>
      </c>
      <c r="J26" s="49">
        <f t="shared" si="4"/>
        <v>31.61654118554462</v>
      </c>
      <c r="K26" s="47">
        <f t="shared" si="5"/>
        <v>12614.9999330323</v>
      </c>
    </row>
    <row r="27" spans="1:11" ht="12">
      <c r="A27" s="42">
        <v>12</v>
      </c>
      <c r="B27" s="45">
        <v>2019</v>
      </c>
      <c r="C27" s="46">
        <f t="shared" si="6"/>
        <v>175.1915123260201</v>
      </c>
      <c r="D27" s="47">
        <f t="shared" si="0"/>
        <v>63944.90199899734</v>
      </c>
      <c r="E27" s="47">
        <f t="shared" si="7"/>
        <v>2060168.3000647689</v>
      </c>
      <c r="F27" s="47">
        <v>95</v>
      </c>
      <c r="G27" s="47">
        <f t="shared" si="1"/>
        <v>1957159.8850615304</v>
      </c>
      <c r="H27" s="47">
        <f t="shared" si="2"/>
        <v>223.42007820337105</v>
      </c>
      <c r="I27" s="48">
        <f t="shared" si="3"/>
        <v>686.6499740749872</v>
      </c>
      <c r="J27" s="49">
        <f t="shared" si="4"/>
        <v>34.33249870374936</v>
      </c>
      <c r="K27" s="47">
        <f t="shared" si="5"/>
        <v>13698.666982795994</v>
      </c>
    </row>
    <row r="28" spans="1:11" ht="12">
      <c r="A28" s="42">
        <v>13</v>
      </c>
      <c r="B28" s="45">
        <v>2020</v>
      </c>
      <c r="C28" s="46">
        <f t="shared" si="6"/>
        <v>179.5713001341706</v>
      </c>
      <c r="D28" s="47">
        <f t="shared" si="0"/>
        <v>65543.52454897227</v>
      </c>
      <c r="E28" s="47">
        <f t="shared" si="7"/>
        <v>2223909.6009429228</v>
      </c>
      <c r="F28" s="47">
        <v>95</v>
      </c>
      <c r="G28" s="47">
        <f t="shared" si="1"/>
        <v>2112714.120895777</v>
      </c>
      <c r="H28" s="47">
        <f t="shared" si="2"/>
        <v>241.17741106116173</v>
      </c>
      <c r="I28" s="48">
        <f t="shared" si="3"/>
        <v>741.2246221750743</v>
      </c>
      <c r="J28" s="49">
        <f t="shared" si="4"/>
        <v>37.06123110875372</v>
      </c>
      <c r="K28" s="47">
        <f t="shared" si="5"/>
        <v>14787.43121239273</v>
      </c>
    </row>
    <row r="29" spans="1:11" ht="12">
      <c r="A29" s="42">
        <v>14</v>
      </c>
      <c r="B29" s="45">
        <v>2021</v>
      </c>
      <c r="C29" s="46">
        <f t="shared" si="6"/>
        <v>184.06058263752485</v>
      </c>
      <c r="D29" s="47">
        <f t="shared" si="0"/>
        <v>67182.11266269657</v>
      </c>
      <c r="E29" s="47">
        <f t="shared" si="7"/>
        <v>2388421.0819763686</v>
      </c>
      <c r="F29" s="47">
        <v>95</v>
      </c>
      <c r="G29" s="47">
        <f t="shared" si="1"/>
        <v>2269000.02787755</v>
      </c>
      <c r="H29" s="47">
        <f t="shared" si="2"/>
        <v>259.01826802255135</v>
      </c>
      <c r="I29" s="48">
        <f t="shared" si="3"/>
        <v>796.0559697805596</v>
      </c>
      <c r="J29" s="49">
        <f t="shared" si="4"/>
        <v>39.802798489027985</v>
      </c>
      <c r="K29" s="47">
        <f t="shared" si="5"/>
        <v>15881.316597122164</v>
      </c>
    </row>
    <row r="30" spans="1:11" ht="12">
      <c r="A30" s="42">
        <v>15</v>
      </c>
      <c r="B30" s="45">
        <v>2022</v>
      </c>
      <c r="C30" s="46">
        <f t="shared" si="6"/>
        <v>188.66209720346296</v>
      </c>
      <c r="D30" s="47">
        <f t="shared" si="0"/>
        <v>68861.66547926397</v>
      </c>
      <c r="E30" s="47">
        <f t="shared" si="7"/>
        <v>2553706.365815399</v>
      </c>
      <c r="F30" s="47">
        <v>95</v>
      </c>
      <c r="G30" s="47">
        <f t="shared" si="1"/>
        <v>2426021.047524629</v>
      </c>
      <c r="H30" s="47">
        <f t="shared" si="2"/>
        <v>276.9430419548663</v>
      </c>
      <c r="I30" s="48">
        <f t="shared" si="3"/>
        <v>851.1452243135408</v>
      </c>
      <c r="J30" s="49">
        <f t="shared" si="4"/>
        <v>42.557261215677045</v>
      </c>
      <c r="K30" s="47">
        <f t="shared" si="5"/>
        <v>16980.34722505514</v>
      </c>
    </row>
    <row r="31" spans="1:11" ht="12">
      <c r="A31" s="42">
        <v>16</v>
      </c>
      <c r="B31" s="45">
        <v>2023</v>
      </c>
      <c r="C31" s="46">
        <f t="shared" si="6"/>
        <v>193.37864963354951</v>
      </c>
      <c r="D31" s="47">
        <f t="shared" si="0"/>
        <v>70583.20711624557</v>
      </c>
      <c r="E31" s="47">
        <f t="shared" si="7"/>
        <v>2719769.0921499515</v>
      </c>
      <c r="F31" s="47">
        <v>95</v>
      </c>
      <c r="G31" s="47">
        <f t="shared" si="1"/>
        <v>2583780.637542454</v>
      </c>
      <c r="H31" s="47">
        <f t="shared" si="2"/>
        <v>294.9521275733395</v>
      </c>
      <c r="I31" s="48">
        <f t="shared" si="3"/>
        <v>906.4935988753945</v>
      </c>
      <c r="J31" s="49">
        <f t="shared" si="4"/>
        <v>45.32467994376972</v>
      </c>
      <c r="K31" s="47">
        <f t="shared" si="5"/>
        <v>18084.54729756412</v>
      </c>
    </row>
    <row r="32" spans="1:11" ht="12">
      <c r="A32" s="42">
        <v>17</v>
      </c>
      <c r="B32" s="45">
        <v>2024</v>
      </c>
      <c r="C32" s="46">
        <f t="shared" si="6"/>
        <v>198.21311587438822</v>
      </c>
      <c r="D32" s="47">
        <f t="shared" si="0"/>
        <v>72347.7872941517</v>
      </c>
      <c r="E32" s="47">
        <f t="shared" si="7"/>
        <v>2886612.917789753</v>
      </c>
      <c r="F32" s="47">
        <v>95</v>
      </c>
      <c r="G32" s="47">
        <f t="shared" si="1"/>
        <v>2742282.271900265</v>
      </c>
      <c r="H32" s="47">
        <f t="shared" si="2"/>
        <v>313.04592144980194</v>
      </c>
      <c r="I32" s="48">
        <f t="shared" si="3"/>
        <v>962.1023122734889</v>
      </c>
      <c r="J32" s="49">
        <f t="shared" si="4"/>
        <v>48.10511561367445</v>
      </c>
      <c r="K32" s="47">
        <f t="shared" si="5"/>
        <v>19193.941129856103</v>
      </c>
    </row>
    <row r="33" spans="1:11" ht="12">
      <c r="A33" s="42">
        <v>18</v>
      </c>
      <c r="B33" s="45">
        <v>2025</v>
      </c>
      <c r="C33" s="46">
        <f t="shared" si="6"/>
        <v>203.16844377124792</v>
      </c>
      <c r="D33" s="47">
        <f t="shared" si="0"/>
        <v>74156.48197650549</v>
      </c>
      <c r="E33" s="47">
        <f t="shared" si="7"/>
        <v>3054241.5167448493</v>
      </c>
      <c r="F33" s="47">
        <v>95</v>
      </c>
      <c r="G33" s="47">
        <f t="shared" si="1"/>
        <v>2901529.440907607</v>
      </c>
      <c r="H33" s="47">
        <f t="shared" si="2"/>
        <v>331.2248220214163</v>
      </c>
      <c r="I33" s="48">
        <f t="shared" si="3"/>
        <v>1017.9725890480248</v>
      </c>
      <c r="J33" s="49">
        <f t="shared" si="4"/>
        <v>50.898629452401245</v>
      </c>
      <c r="K33" s="47">
        <f t="shared" si="5"/>
        <v>20308.553151508095</v>
      </c>
    </row>
    <row r="34" spans="1:11" ht="12">
      <c r="A34" s="42">
        <v>19</v>
      </c>
      <c r="B34" s="45">
        <v>2026</v>
      </c>
      <c r="C34" s="46">
        <f t="shared" si="6"/>
        <v>208.2476548655291</v>
      </c>
      <c r="D34" s="47">
        <f t="shared" si="0"/>
        <v>76010.39402591813</v>
      </c>
      <c r="E34" s="47">
        <f t="shared" si="7"/>
        <v>3222658.580306506</v>
      </c>
      <c r="F34" s="47">
        <v>95</v>
      </c>
      <c r="G34" s="47">
        <f t="shared" si="1"/>
        <v>3061525.6512911804</v>
      </c>
      <c r="H34" s="47">
        <f t="shared" si="2"/>
        <v>349.4892295994498</v>
      </c>
      <c r="I34" s="48">
        <f t="shared" si="3"/>
        <v>1074.1056594989975</v>
      </c>
      <c r="J34" s="49">
        <f t="shared" si="4"/>
        <v>53.70528297494988</v>
      </c>
      <c r="K34" s="47">
        <f t="shared" si="5"/>
        <v>21428.407907005</v>
      </c>
    </row>
    <row r="35" spans="1:11" ht="12">
      <c r="A35" s="42">
        <v>20</v>
      </c>
      <c r="B35" s="45">
        <v>2027</v>
      </c>
      <c r="C35" s="46">
        <f t="shared" si="6"/>
        <v>213.4538462371673</v>
      </c>
      <c r="D35" s="47">
        <f t="shared" si="0"/>
        <v>77910.65387656607</v>
      </c>
      <c r="E35" s="47">
        <f t="shared" si="7"/>
        <v>3391867.817128495</v>
      </c>
      <c r="F35" s="47">
        <v>95</v>
      </c>
      <c r="G35" s="47">
        <f t="shared" si="1"/>
        <v>3222274.42627207</v>
      </c>
      <c r="H35" s="47">
        <f t="shared" si="2"/>
        <v>367.8395463780902</v>
      </c>
      <c r="I35" s="48">
        <f t="shared" si="3"/>
        <v>1130.502759713293</v>
      </c>
      <c r="J35" s="49">
        <f t="shared" si="4"/>
        <v>56.52513798566466</v>
      </c>
      <c r="K35" s="47">
        <f t="shared" si="5"/>
        <v>22553.530056280193</v>
      </c>
    </row>
    <row r="36" spans="4:11" ht="12">
      <c r="D36" s="56">
        <f>SUM(D15:D35)</f>
        <v>1292472.4809392134</v>
      </c>
      <c r="F36" s="50"/>
      <c r="J36" s="52" t="s">
        <v>258</v>
      </c>
      <c r="K36" s="53">
        <f>SUM(K15:K35)</f>
        <v>238043.56530949142</v>
      </c>
    </row>
  </sheetData>
  <sheetProtection/>
  <printOptions/>
  <pageMargins left="0.75" right="0.75" top="1" bottom="1" header="0" footer="0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2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201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PIGARS'!E19</f>
        <v>115.90644</v>
      </c>
      <c r="D15" s="47">
        <f aca="true" t="shared" si="0" ref="D15:D35">+C15*365</f>
        <v>42305.8506</v>
      </c>
      <c r="E15" s="47">
        <f>2*$C$3*$C$4*D15*EXP(-1*$C$3*A15)</f>
        <v>137070.95594400002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118.80410099999999</v>
      </c>
      <c r="D16" s="47">
        <f t="shared" si="0"/>
        <v>43363.496864999994</v>
      </c>
      <c r="E16" s="47">
        <f aca="true" t="shared" si="7" ref="E16:E35">2*$C$3*$C$4*D16*EXP(-1*$C$3*A16)+E15</f>
        <v>274786.64433832746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121.77420352499998</v>
      </c>
      <c r="D17" s="47">
        <f t="shared" si="0"/>
        <v>44447.58428662499</v>
      </c>
      <c r="E17" s="47">
        <f t="shared" si="7"/>
        <v>413150.09777241485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124.81855861312496</v>
      </c>
      <c r="D18" s="47">
        <f t="shared" si="0"/>
        <v>45558.77389379061</v>
      </c>
      <c r="E18" s="47">
        <f t="shared" si="7"/>
        <v>552164.3630999041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127.93902257845308</v>
      </c>
      <c r="D19" s="47">
        <f t="shared" si="0"/>
        <v>46697.74324113537</v>
      </c>
      <c r="E19" s="47">
        <f t="shared" si="7"/>
        <v>691832.5015057405</v>
      </c>
      <c r="F19" s="47">
        <v>95</v>
      </c>
      <c r="G19" s="47">
        <f t="shared" si="1"/>
        <v>657240.8764304534</v>
      </c>
      <c r="H19" s="47">
        <f t="shared" si="2"/>
        <v>75.02749730941248</v>
      </c>
      <c r="I19" s="48">
        <f t="shared" si="3"/>
        <v>230.58638908686024</v>
      </c>
      <c r="J19" s="49">
        <f t="shared" si="4"/>
        <v>11.529319454343012</v>
      </c>
      <c r="K19" s="47">
        <f t="shared" si="5"/>
        <v>4600.198462282861</v>
      </c>
    </row>
    <row r="20" spans="1:11" ht="12">
      <c r="A20" s="42">
        <v>5</v>
      </c>
      <c r="B20" s="45">
        <v>2012</v>
      </c>
      <c r="C20" s="46">
        <f t="shared" si="6"/>
        <v>131.13749814291438</v>
      </c>
      <c r="D20" s="47">
        <f t="shared" si="0"/>
        <v>47865.18682216375</v>
      </c>
      <c r="E20" s="47">
        <f t="shared" si="7"/>
        <v>832157.5885735811</v>
      </c>
      <c r="F20" s="47">
        <v>95</v>
      </c>
      <c r="G20" s="47">
        <f t="shared" si="1"/>
        <v>790549.7091449021</v>
      </c>
      <c r="H20" s="47">
        <f t="shared" si="2"/>
        <v>90.24540058731759</v>
      </c>
      <c r="I20" s="48">
        <f t="shared" si="3"/>
        <v>277.35645995639743</v>
      </c>
      <c r="J20" s="49">
        <f t="shared" si="4"/>
        <v>13.867822997819871</v>
      </c>
      <c r="K20" s="47">
        <f t="shared" si="5"/>
        <v>5533.261376130129</v>
      </c>
    </row>
    <row r="21" spans="1:11" ht="12">
      <c r="A21" s="42">
        <v>6</v>
      </c>
      <c r="B21" s="45">
        <v>2013</v>
      </c>
      <c r="C21" s="46">
        <f t="shared" si="6"/>
        <v>134.41593559648723</v>
      </c>
      <c r="D21" s="47">
        <f t="shared" si="0"/>
        <v>49061.81649271784</v>
      </c>
      <c r="E21" s="47">
        <f t="shared" si="7"/>
        <v>973142.714353522</v>
      </c>
      <c r="F21" s="47">
        <v>95</v>
      </c>
      <c r="G21" s="47">
        <f t="shared" si="1"/>
        <v>924485.5786358459</v>
      </c>
      <c r="H21" s="47">
        <f t="shared" si="2"/>
        <v>105.53488340591848</v>
      </c>
      <c r="I21" s="48">
        <f t="shared" si="3"/>
        <v>324.34652040860016</v>
      </c>
      <c r="J21" s="49">
        <f t="shared" si="4"/>
        <v>16.217326020430008</v>
      </c>
      <c r="K21" s="47">
        <f t="shared" si="5"/>
        <v>6470.713082151573</v>
      </c>
    </row>
    <row r="22" spans="1:11" ht="12">
      <c r="A22" s="42">
        <v>7</v>
      </c>
      <c r="B22" s="45">
        <v>2014</v>
      </c>
      <c r="C22" s="46">
        <f t="shared" si="6"/>
        <v>137.7763339863994</v>
      </c>
      <c r="D22" s="47">
        <f t="shared" si="0"/>
        <v>50288.36190503578</v>
      </c>
      <c r="E22" s="47">
        <f t="shared" si="7"/>
        <v>1114790.9834301434</v>
      </c>
      <c r="F22" s="47">
        <v>95</v>
      </c>
      <c r="G22" s="47">
        <f t="shared" si="1"/>
        <v>1059051.4342586363</v>
      </c>
      <c r="H22" s="47">
        <f t="shared" si="2"/>
        <v>120.89628244961602</v>
      </c>
      <c r="I22" s="48">
        <f t="shared" si="3"/>
        <v>371.55760519529997</v>
      </c>
      <c r="J22" s="49">
        <f t="shared" si="4"/>
        <v>18.577880259765</v>
      </c>
      <c r="K22" s="47">
        <f t="shared" si="5"/>
        <v>7412.574223646235</v>
      </c>
    </row>
    <row r="23" spans="1:11" ht="12">
      <c r="A23" s="42">
        <v>8</v>
      </c>
      <c r="B23" s="45">
        <v>2015</v>
      </c>
      <c r="C23" s="46">
        <f t="shared" si="6"/>
        <v>141.22074233605937</v>
      </c>
      <c r="D23" s="47">
        <f t="shared" si="0"/>
        <v>51545.57095266167</v>
      </c>
      <c r="E23" s="47">
        <f t="shared" si="7"/>
        <v>1257105.5149908736</v>
      </c>
      <c r="F23" s="47">
        <v>95</v>
      </c>
      <c r="G23" s="47">
        <f t="shared" si="1"/>
        <v>1194250.23924133</v>
      </c>
      <c r="H23" s="47">
        <f t="shared" si="2"/>
        <v>136.3299359864532</v>
      </c>
      <c r="I23" s="48">
        <f t="shared" si="3"/>
        <v>418.9907539354282</v>
      </c>
      <c r="J23" s="49">
        <f t="shared" si="4"/>
        <v>20.94953769677141</v>
      </c>
      <c r="K23" s="47">
        <f t="shared" si="5"/>
        <v>8358.865541011792</v>
      </c>
    </row>
    <row r="24" spans="1:11" ht="12">
      <c r="A24" s="42">
        <v>9</v>
      </c>
      <c r="B24" s="45">
        <v>2016</v>
      </c>
      <c r="C24" s="46">
        <f t="shared" si="6"/>
        <v>144.75126089446084</v>
      </c>
      <c r="D24" s="47">
        <f t="shared" si="0"/>
        <v>52834.21022647821</v>
      </c>
      <c r="E24" s="47">
        <f t="shared" si="7"/>
        <v>1400089.442894676</v>
      </c>
      <c r="F24" s="47">
        <v>95</v>
      </c>
      <c r="G24" s="47">
        <f t="shared" si="1"/>
        <v>1330084.9707499421</v>
      </c>
      <c r="H24" s="47">
        <f t="shared" si="2"/>
        <v>151.83618387556416</v>
      </c>
      <c r="I24" s="48">
        <f t="shared" si="3"/>
        <v>466.64701113790966</v>
      </c>
      <c r="J24" s="49">
        <f t="shared" si="4"/>
        <v>23.332350556895484</v>
      </c>
      <c r="K24" s="47">
        <f t="shared" si="5"/>
        <v>9309.607872201297</v>
      </c>
    </row>
    <row r="25" spans="1:11" ht="12">
      <c r="A25" s="42">
        <v>10</v>
      </c>
      <c r="B25" s="45">
        <v>2017</v>
      </c>
      <c r="C25" s="46">
        <f t="shared" si="6"/>
        <v>148.37004241682234</v>
      </c>
      <c r="D25" s="47">
        <f t="shared" si="0"/>
        <v>54155.065482140155</v>
      </c>
      <c r="E25" s="47">
        <f t="shared" si="7"/>
        <v>1543745.9157410592</v>
      </c>
      <c r="F25" s="47">
        <v>95</v>
      </c>
      <c r="G25" s="47">
        <f t="shared" si="1"/>
        <v>1466558.6199540063</v>
      </c>
      <c r="H25" s="47">
        <f t="shared" si="2"/>
        <v>167.41536757465826</v>
      </c>
      <c r="I25" s="48">
        <f t="shared" si="3"/>
        <v>514.5274262246635</v>
      </c>
      <c r="J25" s="49">
        <f t="shared" si="4"/>
        <v>25.726371311233176</v>
      </c>
      <c r="K25" s="47">
        <f t="shared" si="5"/>
        <v>10264.822153182036</v>
      </c>
    </row>
    <row r="26" spans="1:11" ht="12">
      <c r="A26" s="42">
        <v>11</v>
      </c>
      <c r="B26" s="45">
        <v>2018</v>
      </c>
      <c r="C26" s="46">
        <f t="shared" si="6"/>
        <v>152.07929347724289</v>
      </c>
      <c r="D26" s="47">
        <f t="shared" si="0"/>
        <v>55508.942119193656</v>
      </c>
      <c r="E26" s="47">
        <f t="shared" si="7"/>
        <v>1688078.096939411</v>
      </c>
      <c r="F26" s="47">
        <v>95</v>
      </c>
      <c r="G26" s="47">
        <f t="shared" si="1"/>
        <v>1603674.1920924403</v>
      </c>
      <c r="H26" s="47">
        <f t="shared" si="2"/>
        <v>183.06783014753884</v>
      </c>
      <c r="I26" s="48">
        <f t="shared" si="3"/>
        <v>562.6330535537118</v>
      </c>
      <c r="J26" s="49">
        <f t="shared" si="4"/>
        <v>28.13165267768559</v>
      </c>
      <c r="K26" s="47">
        <f t="shared" si="5"/>
        <v>11224.52941839655</v>
      </c>
    </row>
    <row r="27" spans="1:11" ht="12">
      <c r="A27" s="42">
        <v>12</v>
      </c>
      <c r="B27" s="45">
        <v>2019</v>
      </c>
      <c r="C27" s="46">
        <f t="shared" si="6"/>
        <v>155.88127581417393</v>
      </c>
      <c r="D27" s="47">
        <f t="shared" si="0"/>
        <v>56896.66567217348</v>
      </c>
      <c r="E27" s="47">
        <f t="shared" si="7"/>
        <v>1833089.1647786577</v>
      </c>
      <c r="F27" s="47">
        <v>95</v>
      </c>
      <c r="G27" s="47">
        <f t="shared" si="1"/>
        <v>1741434.7065397247</v>
      </c>
      <c r="H27" s="47">
        <f t="shared" si="2"/>
        <v>198.79391627165808</v>
      </c>
      <c r="I27" s="48">
        <f t="shared" si="3"/>
        <v>610.964952442397</v>
      </c>
      <c r="J27" s="49">
        <f t="shared" si="4"/>
        <v>30.548247622119852</v>
      </c>
      <c r="K27" s="47">
        <f t="shared" si="5"/>
        <v>12188.750801225819</v>
      </c>
    </row>
    <row r="28" spans="1:11" ht="12">
      <c r="A28" s="42">
        <v>13</v>
      </c>
      <c r="B28" s="45">
        <v>2020</v>
      </c>
      <c r="C28" s="46">
        <f t="shared" si="6"/>
        <v>159.77830770952826</v>
      </c>
      <c r="D28" s="47">
        <f t="shared" si="0"/>
        <v>58319.082313977815</v>
      </c>
      <c r="E28" s="47">
        <f t="shared" si="7"/>
        <v>1978782.312497254</v>
      </c>
      <c r="F28" s="47">
        <v>95</v>
      </c>
      <c r="G28" s="47">
        <f t="shared" si="1"/>
        <v>1879843.1968723915</v>
      </c>
      <c r="H28" s="47">
        <f t="shared" si="2"/>
        <v>214.5939722457068</v>
      </c>
      <c r="I28" s="48">
        <f t="shared" si="3"/>
        <v>659.5241871907098</v>
      </c>
      <c r="J28" s="49">
        <f t="shared" si="4"/>
        <v>32.97620935953549</v>
      </c>
      <c r="K28" s="47">
        <f t="shared" si="5"/>
        <v>13157.50753445466</v>
      </c>
    </row>
    <row r="29" spans="1:11" ht="12">
      <c r="A29" s="42">
        <v>14</v>
      </c>
      <c r="B29" s="45">
        <v>2021</v>
      </c>
      <c r="C29" s="46">
        <f t="shared" si="6"/>
        <v>163.77276540226646</v>
      </c>
      <c r="D29" s="47">
        <f t="shared" si="0"/>
        <v>59777.05937182726</v>
      </c>
      <c r="E29" s="47">
        <f t="shared" si="7"/>
        <v>2125160.7483534985</v>
      </c>
      <c r="F29" s="47">
        <v>95</v>
      </c>
      <c r="G29" s="47">
        <f t="shared" si="1"/>
        <v>2018902.7109358236</v>
      </c>
      <c r="H29" s="47">
        <f t="shared" si="2"/>
        <v>230.46834599724014</v>
      </c>
      <c r="I29" s="48">
        <f t="shared" si="3"/>
        <v>708.3118271047242</v>
      </c>
      <c r="J29" s="49">
        <f t="shared" si="4"/>
        <v>35.41559135523621</v>
      </c>
      <c r="K29" s="47">
        <f t="shared" si="5"/>
        <v>14130.82095073925</v>
      </c>
    </row>
    <row r="30" spans="1:11" ht="12">
      <c r="A30" s="42">
        <v>15</v>
      </c>
      <c r="B30" s="45">
        <v>2022</v>
      </c>
      <c r="C30" s="46">
        <f t="shared" si="6"/>
        <v>167.8670845373231</v>
      </c>
      <c r="D30" s="47">
        <f t="shared" si="0"/>
        <v>61271.485856122934</v>
      </c>
      <c r="E30" s="47">
        <f t="shared" si="7"/>
        <v>2272227.6956961825</v>
      </c>
      <c r="F30" s="47">
        <v>95</v>
      </c>
      <c r="G30" s="47">
        <f t="shared" si="1"/>
        <v>2158616.3109113737</v>
      </c>
      <c r="H30" s="47">
        <f t="shared" si="2"/>
        <v>246.41738709033947</v>
      </c>
      <c r="I30" s="48">
        <f t="shared" si="3"/>
        <v>757.3289465201462</v>
      </c>
      <c r="J30" s="49">
        <f t="shared" si="4"/>
        <v>37.86644732600731</v>
      </c>
      <c r="K30" s="47">
        <f t="shared" si="5"/>
        <v>15108.712483076917</v>
      </c>
    </row>
    <row r="31" spans="1:11" ht="12">
      <c r="A31" s="42">
        <v>16</v>
      </c>
      <c r="B31" s="45">
        <v>2023</v>
      </c>
      <c r="C31" s="46">
        <f t="shared" si="6"/>
        <v>172.06376165075616</v>
      </c>
      <c r="D31" s="47">
        <f t="shared" si="0"/>
        <v>62803.273002526</v>
      </c>
      <c r="E31" s="47">
        <f t="shared" si="7"/>
        <v>2419986.39303557</v>
      </c>
      <c r="F31" s="47">
        <v>95</v>
      </c>
      <c r="G31" s="47">
        <f t="shared" si="1"/>
        <v>2298987.073383792</v>
      </c>
      <c r="H31" s="47">
        <f t="shared" si="2"/>
        <v>262.4414467333096</v>
      </c>
      <c r="I31" s="48">
        <f t="shared" si="3"/>
        <v>806.5766248259695</v>
      </c>
      <c r="J31" s="49">
        <f t="shared" si="4"/>
        <v>40.328831241298474</v>
      </c>
      <c r="K31" s="47">
        <f t="shared" si="5"/>
        <v>16091.20366527809</v>
      </c>
    </row>
    <row r="32" spans="1:11" ht="12">
      <c r="A32" s="42">
        <v>17</v>
      </c>
      <c r="B32" s="45">
        <v>2024</v>
      </c>
      <c r="C32" s="46">
        <f t="shared" si="6"/>
        <v>176.36535569202505</v>
      </c>
      <c r="D32" s="47">
        <f t="shared" si="0"/>
        <v>64373.354827589144</v>
      </c>
      <c r="E32" s="47">
        <f t="shared" si="7"/>
        <v>2568440.0941147124</v>
      </c>
      <c r="F32" s="47">
        <v>95</v>
      </c>
      <c r="G32" s="47">
        <f t="shared" si="1"/>
        <v>2440018.089408977</v>
      </c>
      <c r="H32" s="47">
        <f t="shared" si="2"/>
        <v>278.5408777864129</v>
      </c>
      <c r="I32" s="48">
        <f t="shared" si="3"/>
        <v>856.0559464882455</v>
      </c>
      <c r="J32" s="49">
        <f t="shared" si="4"/>
        <v>42.802797324412275</v>
      </c>
      <c r="K32" s="47">
        <f t="shared" si="5"/>
        <v>17078.316132440497</v>
      </c>
    </row>
    <row r="33" spans="1:11" ht="12">
      <c r="A33" s="42">
        <v>18</v>
      </c>
      <c r="B33" s="45">
        <v>2025</v>
      </c>
      <c r="C33" s="46">
        <f t="shared" si="6"/>
        <v>180.77448958432566</v>
      </c>
      <c r="D33" s="47">
        <f t="shared" si="0"/>
        <v>65982.68869827887</v>
      </c>
      <c r="E33" s="47">
        <f t="shared" si="7"/>
        <v>2717592.0679810965</v>
      </c>
      <c r="F33" s="47">
        <v>95</v>
      </c>
      <c r="G33" s="47">
        <f t="shared" si="1"/>
        <v>2581712.4645820414</v>
      </c>
      <c r="H33" s="47">
        <f t="shared" si="2"/>
        <v>294.7160347696394</v>
      </c>
      <c r="I33" s="48">
        <f t="shared" si="3"/>
        <v>905.7680010739633</v>
      </c>
      <c r="J33" s="49">
        <f t="shared" si="4"/>
        <v>45.28840005369817</v>
      </c>
      <c r="K33" s="47">
        <f t="shared" si="5"/>
        <v>18070.071621425566</v>
      </c>
    </row>
    <row r="34" spans="1:11" ht="12">
      <c r="A34" s="42">
        <v>19</v>
      </c>
      <c r="B34" s="45">
        <v>2026</v>
      </c>
      <c r="C34" s="46">
        <f t="shared" si="6"/>
        <v>185.29385182393378</v>
      </c>
      <c r="D34" s="47">
        <f t="shared" si="0"/>
        <v>67632.25591573583</v>
      </c>
      <c r="E34" s="47">
        <f t="shared" si="7"/>
        <v>2867445.5990586327</v>
      </c>
      <c r="F34" s="47">
        <v>95</v>
      </c>
      <c r="G34" s="47">
        <f t="shared" si="1"/>
        <v>2724073.319105701</v>
      </c>
      <c r="H34" s="47">
        <f t="shared" si="2"/>
        <v>310.9672738705138</v>
      </c>
      <c r="I34" s="48">
        <f t="shared" si="3"/>
        <v>955.713883275044</v>
      </c>
      <c r="J34" s="49">
        <f t="shared" si="4"/>
        <v>47.785694163752204</v>
      </c>
      <c r="K34" s="47">
        <f t="shared" si="5"/>
        <v>19066.49197133713</v>
      </c>
    </row>
    <row r="35" spans="1:11" ht="12">
      <c r="A35" s="42">
        <v>20</v>
      </c>
      <c r="B35" s="45">
        <v>2027</v>
      </c>
      <c r="C35" s="46">
        <f t="shared" si="6"/>
        <v>189.9261981195321</v>
      </c>
      <c r="D35" s="47">
        <f t="shared" si="0"/>
        <v>69323.06231362921</v>
      </c>
      <c r="E35" s="47">
        <f t="shared" si="7"/>
        <v>3018003.98721998</v>
      </c>
      <c r="F35" s="47">
        <v>95</v>
      </c>
      <c r="G35" s="47">
        <f t="shared" si="1"/>
        <v>2867103.7878589807</v>
      </c>
      <c r="H35" s="47">
        <f t="shared" si="2"/>
        <v>327.29495295193846</v>
      </c>
      <c r="I35" s="48">
        <f t="shared" si="3"/>
        <v>1005.8946929324446</v>
      </c>
      <c r="J35" s="49">
        <f t="shared" si="4"/>
        <v>50.29473464662223</v>
      </c>
      <c r="K35" s="47">
        <f t="shared" si="5"/>
        <v>20067.59912400227</v>
      </c>
    </row>
    <row r="36" spans="4:11" ht="12">
      <c r="D36" s="56">
        <f>SUM(D15:D35)</f>
        <v>1150011.5308588026</v>
      </c>
      <c r="F36" s="50"/>
      <c r="J36" s="52" t="s">
        <v>258</v>
      </c>
      <c r="K36" s="53">
        <f>SUM(K15:K35)</f>
        <v>208134.04641298266</v>
      </c>
    </row>
  </sheetData>
  <sheetProtection/>
  <printOptions/>
  <pageMargins left="0.75" right="0.75" top="1" bottom="1" header="0" footer="0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3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306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PIGARS'!E20</f>
        <v>98.91336</v>
      </c>
      <c r="D15" s="47">
        <f aca="true" t="shared" si="0" ref="D15:D35">+C15*365</f>
        <v>36103.3764</v>
      </c>
      <c r="E15" s="47">
        <f>2*$C$3*$C$4*D15*EXP(-1*$C$3*A15)</f>
        <v>116974.939536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101.38619399999999</v>
      </c>
      <c r="D16" s="47">
        <f t="shared" si="0"/>
        <v>37005.96081</v>
      </c>
      <c r="E16" s="47">
        <f aca="true" t="shared" si="7" ref="E16:E35">2*$C$3*$C$4*D16*EXP(-1*$C$3*A16)+E15</f>
        <v>234500.08709290822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103.92084884999998</v>
      </c>
      <c r="D17" s="47">
        <f t="shared" si="0"/>
        <v>37931.109830249996</v>
      </c>
      <c r="E17" s="47">
        <f t="shared" si="7"/>
        <v>352578.0306512569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106.51887007124998</v>
      </c>
      <c r="D18" s="47">
        <f t="shared" si="0"/>
        <v>38879.387576006244</v>
      </c>
      <c r="E18" s="47">
        <f t="shared" si="7"/>
        <v>471211.3703645073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109.18184182303122</v>
      </c>
      <c r="D19" s="47">
        <f t="shared" si="0"/>
        <v>39851.3722654064</v>
      </c>
      <c r="E19" s="47">
        <f t="shared" si="7"/>
        <v>590402.7186163069</v>
      </c>
      <c r="F19" s="47">
        <v>95</v>
      </c>
      <c r="G19" s="47">
        <f t="shared" si="1"/>
        <v>560882.5826854915</v>
      </c>
      <c r="H19" s="47">
        <f t="shared" si="2"/>
        <v>64.02769208738488</v>
      </c>
      <c r="I19" s="48">
        <f t="shared" si="3"/>
        <v>196.78004530937784</v>
      </c>
      <c r="J19" s="49">
        <f t="shared" si="4"/>
        <v>9.839002265468892</v>
      </c>
      <c r="K19" s="47">
        <f t="shared" si="5"/>
        <v>3925.761903922088</v>
      </c>
    </row>
    <row r="20" spans="1:11" ht="12">
      <c r="A20" s="42">
        <v>5</v>
      </c>
      <c r="B20" s="45">
        <v>2012</v>
      </c>
      <c r="C20" s="46">
        <f t="shared" si="6"/>
        <v>111.911387868607</v>
      </c>
      <c r="D20" s="47">
        <f t="shared" si="0"/>
        <v>40847.65657204155</v>
      </c>
      <c r="E20" s="47">
        <f t="shared" si="7"/>
        <v>710154.7000780157</v>
      </c>
      <c r="F20" s="47">
        <v>95</v>
      </c>
      <c r="G20" s="47">
        <f t="shared" si="1"/>
        <v>674646.965074115</v>
      </c>
      <c r="H20" s="47">
        <f t="shared" si="2"/>
        <v>77.0144937299218</v>
      </c>
      <c r="I20" s="48">
        <f t="shared" si="3"/>
        <v>236.69314122660245</v>
      </c>
      <c r="J20" s="49">
        <f t="shared" si="4"/>
        <v>11.834657061330123</v>
      </c>
      <c r="K20" s="47">
        <f t="shared" si="5"/>
        <v>4722.0281674707185</v>
      </c>
    </row>
    <row r="21" spans="1:11" ht="12">
      <c r="A21" s="42">
        <v>6</v>
      </c>
      <c r="B21" s="45">
        <v>2013</v>
      </c>
      <c r="C21" s="46">
        <f t="shared" si="6"/>
        <v>114.70917256532216</v>
      </c>
      <c r="D21" s="47">
        <f t="shared" si="0"/>
        <v>41868.84798634259</v>
      </c>
      <c r="E21" s="47">
        <f t="shared" si="7"/>
        <v>830469.9517665033</v>
      </c>
      <c r="F21" s="47">
        <v>95</v>
      </c>
      <c r="G21" s="47">
        <f t="shared" si="1"/>
        <v>788946.4541781782</v>
      </c>
      <c r="H21" s="47">
        <f t="shared" si="2"/>
        <v>90.06238061394728</v>
      </c>
      <c r="I21" s="48">
        <f t="shared" si="3"/>
        <v>276.79397398387204</v>
      </c>
      <c r="J21" s="49">
        <f t="shared" si="4"/>
        <v>13.839698699193603</v>
      </c>
      <c r="K21" s="47">
        <f t="shared" si="5"/>
        <v>5522.039780978247</v>
      </c>
    </row>
    <row r="22" spans="1:11" ht="12">
      <c r="A22" s="42">
        <v>7</v>
      </c>
      <c r="B22" s="45">
        <v>2014</v>
      </c>
      <c r="C22" s="46">
        <f t="shared" si="6"/>
        <v>117.5769018794552</v>
      </c>
      <c r="D22" s="47">
        <f t="shared" si="0"/>
        <v>42915.56918600115</v>
      </c>
      <c r="E22" s="47">
        <f t="shared" si="7"/>
        <v>951351.1231022178</v>
      </c>
      <c r="F22" s="47">
        <v>95</v>
      </c>
      <c r="G22" s="47">
        <f t="shared" si="1"/>
        <v>903783.5669471069</v>
      </c>
      <c r="H22" s="47">
        <f t="shared" si="2"/>
        <v>103.17164006245513</v>
      </c>
      <c r="I22" s="48">
        <f t="shared" si="3"/>
        <v>317.08342662772293</v>
      </c>
      <c r="J22" s="49">
        <f t="shared" si="4"/>
        <v>15.854171331386148</v>
      </c>
      <c r="K22" s="47">
        <f t="shared" si="5"/>
        <v>6325.814361223072</v>
      </c>
    </row>
    <row r="23" spans="1:11" ht="12">
      <c r="A23" s="42">
        <v>8</v>
      </c>
      <c r="B23" s="45">
        <v>2015</v>
      </c>
      <c r="C23" s="46">
        <f t="shared" si="6"/>
        <v>120.51632442644157</v>
      </c>
      <c r="D23" s="47">
        <f t="shared" si="0"/>
        <v>43988.45841565117</v>
      </c>
      <c r="E23" s="47">
        <f t="shared" si="7"/>
        <v>1072800.8759675275</v>
      </c>
      <c r="F23" s="47">
        <v>95</v>
      </c>
      <c r="G23" s="47">
        <f t="shared" si="1"/>
        <v>1019160.8321691512</v>
      </c>
      <c r="H23" s="47">
        <f t="shared" si="2"/>
        <v>116.3425607499031</v>
      </c>
      <c r="I23" s="48">
        <f t="shared" si="3"/>
        <v>357.56238635822496</v>
      </c>
      <c r="J23" s="49">
        <f t="shared" si="4"/>
        <v>17.87811931791125</v>
      </c>
      <c r="K23" s="47">
        <f t="shared" si="5"/>
        <v>7133.369607846588</v>
      </c>
    </row>
    <row r="24" spans="1:11" ht="12">
      <c r="A24" s="42">
        <v>9</v>
      </c>
      <c r="B24" s="45">
        <v>2016</v>
      </c>
      <c r="C24" s="46">
        <f t="shared" si="6"/>
        <v>123.5292325371026</v>
      </c>
      <c r="D24" s="47">
        <f t="shared" si="0"/>
        <v>45088.16987604245</v>
      </c>
      <c r="E24" s="47">
        <f t="shared" si="7"/>
        <v>1194821.8847653377</v>
      </c>
      <c r="F24" s="47">
        <v>95</v>
      </c>
      <c r="G24" s="47">
        <f t="shared" si="1"/>
        <v>1135080.7905270709</v>
      </c>
      <c r="H24" s="47">
        <f t="shared" si="2"/>
        <v>129.57543270856974</v>
      </c>
      <c r="I24" s="48">
        <f t="shared" si="3"/>
        <v>398.23174454851755</v>
      </c>
      <c r="J24" s="49">
        <f t="shared" si="4"/>
        <v>19.91158722742588</v>
      </c>
      <c r="K24" s="47">
        <f t="shared" si="5"/>
        <v>7944.723303742926</v>
      </c>
    </row>
    <row r="25" spans="1:11" ht="12">
      <c r="A25" s="42">
        <v>10</v>
      </c>
      <c r="B25" s="45">
        <v>2017</v>
      </c>
      <c r="C25" s="46">
        <f t="shared" si="6"/>
        <v>126.61746335053016</v>
      </c>
      <c r="D25" s="47">
        <f t="shared" si="0"/>
        <v>46215.37412294351</v>
      </c>
      <c r="E25" s="47">
        <f t="shared" si="7"/>
        <v>1317416.8364779823</v>
      </c>
      <c r="F25" s="47">
        <v>95</v>
      </c>
      <c r="G25" s="47">
        <f t="shared" si="1"/>
        <v>1251545.9946540832</v>
      </c>
      <c r="H25" s="47">
        <f t="shared" si="2"/>
        <v>142.870547334941</v>
      </c>
      <c r="I25" s="48">
        <f t="shared" si="3"/>
        <v>439.0923967644385</v>
      </c>
      <c r="J25" s="49">
        <f t="shared" si="4"/>
        <v>21.954619838221927</v>
      </c>
      <c r="K25" s="47">
        <f t="shared" si="5"/>
        <v>8759.893315450548</v>
      </c>
    </row>
    <row r="26" spans="1:11" ht="12">
      <c r="A26" s="42">
        <v>11</v>
      </c>
      <c r="B26" s="45">
        <v>2018</v>
      </c>
      <c r="C26" s="46">
        <f t="shared" si="6"/>
        <v>129.7828999342934</v>
      </c>
      <c r="D26" s="47">
        <f t="shared" si="0"/>
        <v>47370.75847601709</v>
      </c>
      <c r="E26" s="47">
        <f t="shared" si="7"/>
        <v>1440588.4307263934</v>
      </c>
      <c r="F26" s="47">
        <v>95</v>
      </c>
      <c r="G26" s="47">
        <f t="shared" si="1"/>
        <v>1368559.0091900737</v>
      </c>
      <c r="H26" s="47">
        <f t="shared" si="2"/>
        <v>156.22819739612714</v>
      </c>
      <c r="I26" s="48">
        <f t="shared" si="3"/>
        <v>480.14524278424545</v>
      </c>
      <c r="J26" s="49">
        <f t="shared" si="4"/>
        <v>24.007262139212273</v>
      </c>
      <c r="K26" s="47">
        <f t="shared" si="5"/>
        <v>9578.897593545697</v>
      </c>
    </row>
    <row r="27" spans="1:11" ht="12">
      <c r="A27" s="42">
        <v>12</v>
      </c>
      <c r="B27" s="45">
        <v>2019</v>
      </c>
      <c r="C27" s="46">
        <f t="shared" si="6"/>
        <v>133.0274724326507</v>
      </c>
      <c r="D27" s="47">
        <f t="shared" si="0"/>
        <v>48555.02743791751</v>
      </c>
      <c r="E27" s="47">
        <f t="shared" si="7"/>
        <v>1564339.379829548</v>
      </c>
      <c r="F27" s="47">
        <v>95</v>
      </c>
      <c r="G27" s="47">
        <f t="shared" si="1"/>
        <v>1486122.4108380708</v>
      </c>
      <c r="H27" s="47">
        <f t="shared" si="2"/>
        <v>169.64867703630946</v>
      </c>
      <c r="I27" s="48">
        <f t="shared" si="3"/>
        <v>521.3911866184287</v>
      </c>
      <c r="J27" s="49">
        <f t="shared" si="4"/>
        <v>26.069559330921436</v>
      </c>
      <c r="K27" s="47">
        <f t="shared" si="5"/>
        <v>10401.754173037652</v>
      </c>
    </row>
    <row r="28" spans="1:11" ht="12">
      <c r="A28" s="42">
        <v>13</v>
      </c>
      <c r="B28" s="45">
        <v>2020</v>
      </c>
      <c r="C28" s="46">
        <f t="shared" si="6"/>
        <v>136.35315924346696</v>
      </c>
      <c r="D28" s="47">
        <f t="shared" si="0"/>
        <v>49768.90312386544</v>
      </c>
      <c r="E28" s="47">
        <f t="shared" si="7"/>
        <v>1688672.4088641962</v>
      </c>
      <c r="F28" s="47">
        <v>95</v>
      </c>
      <c r="G28" s="47">
        <f t="shared" si="1"/>
        <v>1604238.7884209862</v>
      </c>
      <c r="H28" s="47">
        <f t="shared" si="2"/>
        <v>183.1322817832176</v>
      </c>
      <c r="I28" s="48">
        <f t="shared" si="3"/>
        <v>562.8311365296188</v>
      </c>
      <c r="J28" s="49">
        <f t="shared" si="4"/>
        <v>28.14155682648094</v>
      </c>
      <c r="K28" s="47">
        <f t="shared" si="5"/>
        <v>11228.481173765895</v>
      </c>
    </row>
    <row r="29" spans="1:11" ht="12">
      <c r="A29" s="42">
        <v>14</v>
      </c>
      <c r="B29" s="45">
        <v>2021</v>
      </c>
      <c r="C29" s="46">
        <f t="shared" si="6"/>
        <v>139.76198822455362</v>
      </c>
      <c r="D29" s="47">
        <f t="shared" si="0"/>
        <v>51013.12570196207</v>
      </c>
      <c r="E29" s="47">
        <f t="shared" si="7"/>
        <v>1813590.2557248678</v>
      </c>
      <c r="F29" s="47">
        <v>95</v>
      </c>
      <c r="G29" s="47">
        <f t="shared" si="1"/>
        <v>1722910.7429386242</v>
      </c>
      <c r="H29" s="47">
        <f t="shared" si="2"/>
        <v>196.67930855463746</v>
      </c>
      <c r="I29" s="48">
        <f t="shared" si="3"/>
        <v>604.466005052587</v>
      </c>
      <c r="J29" s="49">
        <f t="shared" si="4"/>
        <v>30.22330025262935</v>
      </c>
      <c r="K29" s="47">
        <f t="shared" si="5"/>
        <v>12059.09680079911</v>
      </c>
    </row>
    <row r="30" spans="1:11" ht="12">
      <c r="A30" s="42">
        <v>15</v>
      </c>
      <c r="B30" s="45">
        <v>2022</v>
      </c>
      <c r="C30" s="46">
        <f t="shared" si="6"/>
        <v>143.25603793016745</v>
      </c>
      <c r="D30" s="47">
        <f t="shared" si="0"/>
        <v>52288.45384451112</v>
      </c>
      <c r="E30" s="47">
        <f t="shared" si="7"/>
        <v>1939095.6711841638</v>
      </c>
      <c r="F30" s="47">
        <v>95</v>
      </c>
      <c r="G30" s="47">
        <f t="shared" si="1"/>
        <v>1842140.8876249555</v>
      </c>
      <c r="H30" s="47">
        <f t="shared" si="2"/>
        <v>210.29005566494925</v>
      </c>
      <c r="I30" s="48">
        <f t="shared" si="3"/>
        <v>646.2967090143394</v>
      </c>
      <c r="J30" s="49">
        <f t="shared" si="4"/>
        <v>32.31483545071697</v>
      </c>
      <c r="K30" s="47">
        <f t="shared" si="5"/>
        <v>12893.619344836072</v>
      </c>
    </row>
    <row r="31" spans="1:11" ht="12">
      <c r="A31" s="42">
        <v>16</v>
      </c>
      <c r="B31" s="45">
        <v>2023</v>
      </c>
      <c r="C31" s="46">
        <f t="shared" si="6"/>
        <v>146.83743887842164</v>
      </c>
      <c r="D31" s="47">
        <f t="shared" si="0"/>
        <v>53595.6651906239</v>
      </c>
      <c r="E31" s="47">
        <f t="shared" si="7"/>
        <v>2065191.418953329</v>
      </c>
      <c r="F31" s="47">
        <v>95</v>
      </c>
      <c r="G31" s="47">
        <f t="shared" si="1"/>
        <v>1961931.8480056627</v>
      </c>
      <c r="H31" s="47">
        <f t="shared" si="2"/>
        <v>223.96482283169667</v>
      </c>
      <c r="I31" s="48">
        <f t="shared" si="3"/>
        <v>688.3241695543066</v>
      </c>
      <c r="J31" s="49">
        <f t="shared" si="4"/>
        <v>34.41620847771534</v>
      </c>
      <c r="K31" s="47">
        <f t="shared" si="5"/>
        <v>13732.067182608416</v>
      </c>
    </row>
    <row r="32" spans="1:11" ht="12">
      <c r="A32" s="42">
        <v>17</v>
      </c>
      <c r="B32" s="45">
        <v>2024</v>
      </c>
      <c r="C32" s="46">
        <f t="shared" si="6"/>
        <v>150.50837485038215</v>
      </c>
      <c r="D32" s="47">
        <f t="shared" si="0"/>
        <v>54935.55682038949</v>
      </c>
      <c r="E32" s="47">
        <f t="shared" si="7"/>
        <v>2191880.275743112</v>
      </c>
      <c r="F32" s="47">
        <v>95</v>
      </c>
      <c r="G32" s="47">
        <f t="shared" si="1"/>
        <v>2082286.2619559562</v>
      </c>
      <c r="H32" s="47">
        <f t="shared" si="2"/>
        <v>237.70391118218677</v>
      </c>
      <c r="I32" s="48">
        <f t="shared" si="3"/>
        <v>730.5493121446276</v>
      </c>
      <c r="J32" s="49">
        <f t="shared" si="4"/>
        <v>36.527465607231385</v>
      </c>
      <c r="K32" s="47">
        <f t="shared" si="5"/>
        <v>14574.45877728532</v>
      </c>
    </row>
    <row r="33" spans="1:11" ht="12">
      <c r="A33" s="42">
        <v>18</v>
      </c>
      <c r="B33" s="45">
        <v>2025</v>
      </c>
      <c r="C33" s="46">
        <f t="shared" si="6"/>
        <v>154.2710842216417</v>
      </c>
      <c r="D33" s="47">
        <f t="shared" si="0"/>
        <v>56308.945740899224</v>
      </c>
      <c r="E33" s="47">
        <f t="shared" si="7"/>
        <v>2319165.031324909</v>
      </c>
      <c r="F33" s="47">
        <v>95</v>
      </c>
      <c r="G33" s="47">
        <f t="shared" si="1"/>
        <v>2203206.7797586634</v>
      </c>
      <c r="H33" s="47">
        <f t="shared" si="2"/>
        <v>251.5076232601214</v>
      </c>
      <c r="I33" s="48">
        <f t="shared" si="3"/>
        <v>772.9730666105294</v>
      </c>
      <c r="J33" s="49">
        <f t="shared" si="4"/>
        <v>38.64865333052647</v>
      </c>
      <c r="K33" s="47">
        <f t="shared" si="5"/>
        <v>15420.81267888006</v>
      </c>
    </row>
    <row r="34" spans="1:11" ht="12">
      <c r="A34" s="42">
        <v>19</v>
      </c>
      <c r="B34" s="45">
        <v>2026</v>
      </c>
      <c r="C34" s="46">
        <f t="shared" si="6"/>
        <v>158.12786132718273</v>
      </c>
      <c r="D34" s="47">
        <f t="shared" si="0"/>
        <v>57716.66938442169</v>
      </c>
      <c r="E34" s="47">
        <f t="shared" si="7"/>
        <v>2447048.4885921977</v>
      </c>
      <c r="F34" s="47">
        <v>95</v>
      </c>
      <c r="G34" s="47">
        <f t="shared" si="1"/>
        <v>2324696.0641625877</v>
      </c>
      <c r="H34" s="47">
        <f t="shared" si="2"/>
        <v>265.37626303225886</v>
      </c>
      <c r="I34" s="48">
        <f t="shared" si="3"/>
        <v>815.5963671508023</v>
      </c>
      <c r="J34" s="49">
        <f t="shared" si="4"/>
        <v>40.779818357540115</v>
      </c>
      <c r="K34" s="47">
        <f t="shared" si="5"/>
        <v>16271.147524658507</v>
      </c>
    </row>
    <row r="35" spans="1:11" ht="12">
      <c r="A35" s="42">
        <v>20</v>
      </c>
      <c r="B35" s="45">
        <v>2027</v>
      </c>
      <c r="C35" s="46">
        <f t="shared" si="6"/>
        <v>162.08105786036228</v>
      </c>
      <c r="D35" s="47">
        <f t="shared" si="0"/>
        <v>59159.58611903223</v>
      </c>
      <c r="E35" s="47">
        <f t="shared" si="7"/>
        <v>2575533.463622257</v>
      </c>
      <c r="F35" s="47">
        <v>95</v>
      </c>
      <c r="G35" s="47">
        <f t="shared" si="1"/>
        <v>2446756.7904411443</v>
      </c>
      <c r="H35" s="47">
        <f t="shared" si="2"/>
        <v>279.3101358951078</v>
      </c>
      <c r="I35" s="48">
        <f t="shared" si="3"/>
        <v>858.420152358371</v>
      </c>
      <c r="J35" s="49">
        <f t="shared" si="4"/>
        <v>42.92100761791855</v>
      </c>
      <c r="K35" s="47">
        <f t="shared" si="5"/>
        <v>17125.4820395495</v>
      </c>
    </row>
    <row r="36" spans="4:11" ht="12">
      <c r="D36" s="56">
        <f>SUM(D15:D35)</f>
        <v>981407.9748803248</v>
      </c>
      <c r="F36" s="50"/>
      <c r="J36" s="52" t="s">
        <v>258</v>
      </c>
      <c r="K36" s="53">
        <f>SUM(K15:K35)</f>
        <v>177619.44772960042</v>
      </c>
    </row>
  </sheetData>
  <sheetProtection/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9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306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PIGARS'!E21</f>
        <v>76.50552</v>
      </c>
      <c r="D15" s="47">
        <f aca="true" t="shared" si="0" ref="D15:D35">+C15*365</f>
        <v>27924.5148</v>
      </c>
      <c r="E15" s="47">
        <f>2*$C$3*$C$4*D15*EXP(-1*$C$3*A15)</f>
        <v>90475.42795200001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78.41815799999999</v>
      </c>
      <c r="D16" s="47">
        <f t="shared" si="0"/>
        <v>28622.627669999998</v>
      </c>
      <c r="E16" s="47">
        <f aca="true" t="shared" si="7" ref="E16:E35">2*$C$3*$C$4*D16*EXP(-1*$C$3*A16)+E15</f>
        <v>181376.41975854663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80.37861194999998</v>
      </c>
      <c r="D17" s="47">
        <f t="shared" si="0"/>
        <v>29338.193361749993</v>
      </c>
      <c r="E17" s="47">
        <f t="shared" si="7"/>
        <v>272704.977118868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82.38807724874997</v>
      </c>
      <c r="D18" s="47">
        <f t="shared" si="0"/>
        <v>30071.648195793736</v>
      </c>
      <c r="E18" s="47">
        <f t="shared" si="7"/>
        <v>364463.111147465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84.4477791799687</v>
      </c>
      <c r="D19" s="47">
        <f t="shared" si="0"/>
        <v>30823.439400688578</v>
      </c>
      <c r="E19" s="47">
        <f t="shared" si="7"/>
        <v>456652.8424183976</v>
      </c>
      <c r="F19" s="47">
        <v>95</v>
      </c>
      <c r="G19" s="47">
        <f t="shared" si="1"/>
        <v>433820.2002974777</v>
      </c>
      <c r="H19" s="47">
        <f t="shared" si="2"/>
        <v>49.522853915237185</v>
      </c>
      <c r="I19" s="48">
        <f t="shared" si="3"/>
        <v>152.20147907236705</v>
      </c>
      <c r="J19" s="49">
        <f t="shared" si="4"/>
        <v>7.610073953618353</v>
      </c>
      <c r="K19" s="47">
        <f t="shared" si="5"/>
        <v>3036.4195074937224</v>
      </c>
    </row>
    <row r="20" spans="1:11" ht="12">
      <c r="A20" s="42">
        <v>5</v>
      </c>
      <c r="B20" s="45">
        <v>2012</v>
      </c>
      <c r="C20" s="46">
        <f t="shared" si="6"/>
        <v>86.55897365946791</v>
      </c>
      <c r="D20" s="47">
        <f t="shared" si="0"/>
        <v>31594.025385705787</v>
      </c>
      <c r="E20" s="47">
        <f t="shared" si="7"/>
        <v>549276.2010097789</v>
      </c>
      <c r="F20" s="47">
        <v>95</v>
      </c>
      <c r="G20" s="47">
        <f t="shared" si="1"/>
        <v>521812.39095929</v>
      </c>
      <c r="H20" s="47">
        <f t="shared" si="2"/>
        <v>59.567624538731735</v>
      </c>
      <c r="I20" s="48">
        <f t="shared" si="3"/>
        <v>183.07265924415728</v>
      </c>
      <c r="J20" s="49">
        <f t="shared" si="4"/>
        <v>9.153632962207864</v>
      </c>
      <c r="K20" s="47">
        <f t="shared" si="5"/>
        <v>3652.2995519209376</v>
      </c>
    </row>
    <row r="21" spans="1:11" ht="12">
      <c r="A21" s="42">
        <v>6</v>
      </c>
      <c r="B21" s="45">
        <v>2013</v>
      </c>
      <c r="C21" s="46">
        <f t="shared" si="6"/>
        <v>88.7229480009546</v>
      </c>
      <c r="D21" s="47">
        <f t="shared" si="0"/>
        <v>32383.87602034843</v>
      </c>
      <c r="E21" s="47">
        <f t="shared" si="7"/>
        <v>642335.2265484788</v>
      </c>
      <c r="F21" s="47">
        <v>95</v>
      </c>
      <c r="G21" s="47">
        <f t="shared" si="1"/>
        <v>610218.4652210549</v>
      </c>
      <c r="H21" s="47">
        <f t="shared" si="2"/>
        <v>69.65964214852224</v>
      </c>
      <c r="I21" s="48">
        <f t="shared" si="3"/>
        <v>214.08904633815487</v>
      </c>
      <c r="J21" s="49">
        <f t="shared" si="4"/>
        <v>10.704452316907744</v>
      </c>
      <c r="K21" s="47">
        <f t="shared" si="5"/>
        <v>4271.076474446189</v>
      </c>
    </row>
    <row r="22" spans="1:11" ht="12">
      <c r="A22" s="42">
        <v>7</v>
      </c>
      <c r="B22" s="45">
        <v>2014</v>
      </c>
      <c r="C22" s="46">
        <f t="shared" si="6"/>
        <v>90.94102170097845</v>
      </c>
      <c r="D22" s="47">
        <f t="shared" si="0"/>
        <v>33193.47292085714</v>
      </c>
      <c r="E22" s="47">
        <f t="shared" si="7"/>
        <v>735831.9682550384</v>
      </c>
      <c r="F22" s="47">
        <v>95</v>
      </c>
      <c r="G22" s="47">
        <f t="shared" si="1"/>
        <v>699040.3698422865</v>
      </c>
      <c r="H22" s="47">
        <f t="shared" si="2"/>
        <v>79.79912897742996</v>
      </c>
      <c r="I22" s="48">
        <f t="shared" si="3"/>
        <v>245.25132335546775</v>
      </c>
      <c r="J22" s="49">
        <f t="shared" si="4"/>
        <v>12.262566167773388</v>
      </c>
      <c r="K22" s="47">
        <f t="shared" si="5"/>
        <v>4892.763900941582</v>
      </c>
    </row>
    <row r="23" spans="1:11" ht="12">
      <c r="A23" s="42">
        <v>8</v>
      </c>
      <c r="B23" s="45">
        <v>2015</v>
      </c>
      <c r="C23" s="46">
        <f t="shared" si="6"/>
        <v>93.2145472435029</v>
      </c>
      <c r="D23" s="47">
        <f t="shared" si="0"/>
        <v>34023.30974387856</v>
      </c>
      <c r="E23" s="47">
        <f t="shared" si="7"/>
        <v>829768.4849887942</v>
      </c>
      <c r="F23" s="47">
        <v>95</v>
      </c>
      <c r="G23" s="47">
        <f t="shared" si="1"/>
        <v>788280.0607393545</v>
      </c>
      <c r="H23" s="47">
        <f t="shared" si="2"/>
        <v>89.98630830357928</v>
      </c>
      <c r="I23" s="48">
        <f t="shared" si="3"/>
        <v>276.5601765097951</v>
      </c>
      <c r="J23" s="49">
        <f t="shared" si="4"/>
        <v>13.828008825489755</v>
      </c>
      <c r="K23" s="47">
        <f t="shared" si="5"/>
        <v>5517.375521370413</v>
      </c>
    </row>
    <row r="24" spans="1:11" ht="12">
      <c r="A24" s="42">
        <v>9</v>
      </c>
      <c r="B24" s="45">
        <v>2016</v>
      </c>
      <c r="C24" s="46">
        <f t="shared" si="6"/>
        <v>95.54491092459047</v>
      </c>
      <c r="D24" s="47">
        <f t="shared" si="0"/>
        <v>34873.89248747552</v>
      </c>
      <c r="E24" s="47">
        <f t="shared" si="7"/>
        <v>924146.8452932166</v>
      </c>
      <c r="F24" s="47">
        <v>95</v>
      </c>
      <c r="G24" s="47">
        <f t="shared" si="1"/>
        <v>877939.5030285558</v>
      </c>
      <c r="H24" s="47">
        <f t="shared" si="2"/>
        <v>100.22140445531458</v>
      </c>
      <c r="I24" s="48">
        <f t="shared" si="3"/>
        <v>308.0162952425385</v>
      </c>
      <c r="J24" s="49">
        <f t="shared" si="4"/>
        <v>15.400814762126926</v>
      </c>
      <c r="K24" s="47">
        <f t="shared" si="5"/>
        <v>6144.925090088643</v>
      </c>
    </row>
    <row r="25" spans="1:11" ht="12">
      <c r="A25" s="42">
        <v>10</v>
      </c>
      <c r="B25" s="45">
        <v>2017</v>
      </c>
      <c r="C25" s="46">
        <f t="shared" si="6"/>
        <v>97.93353369770522</v>
      </c>
      <c r="D25" s="47">
        <f t="shared" si="0"/>
        <v>35745.739799662406</v>
      </c>
      <c r="E25" s="47">
        <f t="shared" si="7"/>
        <v>1018969.1274414599</v>
      </c>
      <c r="F25" s="47">
        <v>95</v>
      </c>
      <c r="G25" s="47">
        <f t="shared" si="1"/>
        <v>968020.6710693869</v>
      </c>
      <c r="H25" s="47">
        <f t="shared" si="2"/>
        <v>110.50464281614005</v>
      </c>
      <c r="I25" s="48">
        <f t="shared" si="3"/>
        <v>339.62037223798364</v>
      </c>
      <c r="J25" s="49">
        <f t="shared" si="4"/>
        <v>16.981018611899184</v>
      </c>
      <c r="K25" s="47">
        <f t="shared" si="5"/>
        <v>6775.426426147774</v>
      </c>
    </row>
    <row r="26" spans="1:11" ht="12">
      <c r="A26" s="42">
        <v>11</v>
      </c>
      <c r="B26" s="45">
        <v>2018</v>
      </c>
      <c r="C26" s="46">
        <f t="shared" si="6"/>
        <v>100.38187204014784</v>
      </c>
      <c r="D26" s="47">
        <f t="shared" si="0"/>
        <v>36639.38329465396</v>
      </c>
      <c r="E26" s="47">
        <f t="shared" si="7"/>
        <v>1114237.4194821275</v>
      </c>
      <c r="F26" s="47">
        <v>95</v>
      </c>
      <c r="G26" s="47">
        <f t="shared" si="1"/>
        <v>1058525.548508021</v>
      </c>
      <c r="H26" s="47">
        <f t="shared" si="2"/>
        <v>120.83624982968277</v>
      </c>
      <c r="I26" s="48">
        <f t="shared" si="3"/>
        <v>371.37310343855404</v>
      </c>
      <c r="J26" s="49">
        <f t="shared" si="4"/>
        <v>18.568655171927702</v>
      </c>
      <c r="K26" s="47">
        <f t="shared" si="5"/>
        <v>7408.893413599152</v>
      </c>
    </row>
    <row r="27" spans="1:11" ht="12">
      <c r="A27" s="42">
        <v>12</v>
      </c>
      <c r="B27" s="45">
        <v>2019</v>
      </c>
      <c r="C27" s="46">
        <f t="shared" si="6"/>
        <v>102.89141884115153</v>
      </c>
      <c r="D27" s="47">
        <f t="shared" si="0"/>
        <v>37555.36787702031</v>
      </c>
      <c r="E27" s="47">
        <f t="shared" si="7"/>
        <v>1209953.819285252</v>
      </c>
      <c r="F27" s="47">
        <v>95</v>
      </c>
      <c r="G27" s="47">
        <f t="shared" si="1"/>
        <v>1149456.1283209892</v>
      </c>
      <c r="H27" s="47">
        <f t="shared" si="2"/>
        <v>131.21645300467912</v>
      </c>
      <c r="I27" s="48">
        <f t="shared" si="3"/>
        <v>403.2751880601358</v>
      </c>
      <c r="J27" s="49">
        <f t="shared" si="4"/>
        <v>20.163759403006793</v>
      </c>
      <c r="K27" s="47">
        <f t="shared" si="5"/>
        <v>8045.340001799709</v>
      </c>
    </row>
    <row r="28" spans="1:11" ht="12">
      <c r="A28" s="42">
        <v>13</v>
      </c>
      <c r="B28" s="45">
        <v>2020</v>
      </c>
      <c r="C28" s="46">
        <f t="shared" si="6"/>
        <v>105.46370431218031</v>
      </c>
      <c r="D28" s="47">
        <f t="shared" si="0"/>
        <v>38494.25207394581</v>
      </c>
      <c r="E28" s="47">
        <f t="shared" si="7"/>
        <v>1306120.4345884915</v>
      </c>
      <c r="F28" s="47">
        <v>95</v>
      </c>
      <c r="G28" s="47">
        <f t="shared" si="1"/>
        <v>1240814.4128590669</v>
      </c>
      <c r="H28" s="47">
        <f t="shared" si="2"/>
        <v>141.6454809199848</v>
      </c>
      <c r="I28" s="48">
        <f t="shared" si="3"/>
        <v>435.327328607475</v>
      </c>
      <c r="J28" s="49">
        <f t="shared" si="4"/>
        <v>21.76636643037375</v>
      </c>
      <c r="K28" s="47">
        <f t="shared" si="5"/>
        <v>8684.780205719126</v>
      </c>
    </row>
    <row r="29" spans="1:11" ht="12">
      <c r="A29" s="42">
        <v>14</v>
      </c>
      <c r="B29" s="45">
        <v>2021</v>
      </c>
      <c r="C29" s="46">
        <f t="shared" si="6"/>
        <v>108.10029691998481</v>
      </c>
      <c r="D29" s="47">
        <f t="shared" si="0"/>
        <v>39456.60837579446</v>
      </c>
      <c r="E29" s="47">
        <f t="shared" si="7"/>
        <v>1402739.383043544</v>
      </c>
      <c r="F29" s="47">
        <v>95</v>
      </c>
      <c r="G29" s="47">
        <f t="shared" si="1"/>
        <v>1332602.4138913667</v>
      </c>
      <c r="H29" s="47">
        <f t="shared" si="2"/>
        <v>152.12356322960807</v>
      </c>
      <c r="I29" s="48">
        <f t="shared" si="3"/>
        <v>467.53023088964704</v>
      </c>
      <c r="J29" s="49">
        <f t="shared" si="4"/>
        <v>23.376511544482355</v>
      </c>
      <c r="K29" s="47">
        <f t="shared" si="5"/>
        <v>9327.228106248458</v>
      </c>
    </row>
    <row r="30" spans="1:11" ht="12">
      <c r="A30" s="42">
        <v>15</v>
      </c>
      <c r="B30" s="45">
        <v>2022</v>
      </c>
      <c r="C30" s="46">
        <f t="shared" si="6"/>
        <v>110.80280434298443</v>
      </c>
      <c r="D30" s="47">
        <f t="shared" si="0"/>
        <v>40443.023585189316</v>
      </c>
      <c r="E30" s="47">
        <f t="shared" si="7"/>
        <v>1499812.7922627784</v>
      </c>
      <c r="F30" s="47">
        <v>95</v>
      </c>
      <c r="G30" s="47">
        <f t="shared" si="1"/>
        <v>1424822.1526496396</v>
      </c>
      <c r="H30" s="47">
        <f t="shared" si="2"/>
        <v>162.65093066776708</v>
      </c>
      <c r="I30" s="48">
        <f t="shared" si="3"/>
        <v>499.8846040355995</v>
      </c>
      <c r="J30" s="49">
        <f t="shared" si="4"/>
        <v>24.994230201779978</v>
      </c>
      <c r="K30" s="47">
        <f t="shared" si="5"/>
        <v>9972.69785051021</v>
      </c>
    </row>
    <row r="31" spans="1:11" ht="12">
      <c r="A31" s="42">
        <v>16</v>
      </c>
      <c r="B31" s="45">
        <v>2023</v>
      </c>
      <c r="C31" s="46">
        <f t="shared" si="6"/>
        <v>113.57287445155903</v>
      </c>
      <c r="D31" s="47">
        <f t="shared" si="0"/>
        <v>41454.09917481904</v>
      </c>
      <c r="E31" s="47">
        <f t="shared" si="7"/>
        <v>1597342.7998660873</v>
      </c>
      <c r="F31" s="47">
        <v>95</v>
      </c>
      <c r="G31" s="47">
        <f t="shared" si="1"/>
        <v>1517475.6598727829</v>
      </c>
      <c r="H31" s="47">
        <f t="shared" si="2"/>
        <v>173.22781505397066</v>
      </c>
      <c r="I31" s="48">
        <f t="shared" si="3"/>
        <v>532.391160509767</v>
      </c>
      <c r="J31" s="49">
        <f t="shared" si="4"/>
        <v>26.619558025488352</v>
      </c>
      <c r="K31" s="47">
        <f t="shared" si="5"/>
        <v>10621.203652169852</v>
      </c>
    </row>
    <row r="32" spans="1:11" ht="12">
      <c r="A32" s="42">
        <v>17</v>
      </c>
      <c r="B32" s="45">
        <v>2024</v>
      </c>
      <c r="C32" s="46">
        <f t="shared" si="6"/>
        <v>116.412196312848</v>
      </c>
      <c r="D32" s="47">
        <f t="shared" si="0"/>
        <v>42490.45165418952</v>
      </c>
      <c r="E32" s="47">
        <f t="shared" si="7"/>
        <v>1695331.5535279575</v>
      </c>
      <c r="F32" s="47">
        <v>95</v>
      </c>
      <c r="G32" s="47">
        <f t="shared" si="1"/>
        <v>1610564.9758515595</v>
      </c>
      <c r="H32" s="47">
        <f t="shared" si="2"/>
        <v>183.85444929812323</v>
      </c>
      <c r="I32" s="48">
        <f t="shared" si="3"/>
        <v>565.050616127761</v>
      </c>
      <c r="J32" s="49">
        <f t="shared" si="4"/>
        <v>28.25253080638805</v>
      </c>
      <c r="K32" s="47">
        <f t="shared" si="5"/>
        <v>11272.759791748835</v>
      </c>
    </row>
    <row r="33" spans="1:11" ht="12">
      <c r="A33" s="42">
        <v>18</v>
      </c>
      <c r="B33" s="45">
        <v>2025</v>
      </c>
      <c r="C33" s="46">
        <f t="shared" si="6"/>
        <v>119.32250122066918</v>
      </c>
      <c r="D33" s="47">
        <f t="shared" si="0"/>
        <v>43552.71294554425</v>
      </c>
      <c r="E33" s="47">
        <f t="shared" si="7"/>
        <v>1793781.2110247638</v>
      </c>
      <c r="F33" s="47">
        <v>95</v>
      </c>
      <c r="G33" s="47">
        <f t="shared" si="1"/>
        <v>1704092.1504735255</v>
      </c>
      <c r="H33" s="47">
        <f t="shared" si="2"/>
        <v>194.5310674056536</v>
      </c>
      <c r="I33" s="48">
        <f t="shared" si="3"/>
        <v>597.8636900721316</v>
      </c>
      <c r="J33" s="49">
        <f t="shared" si="4"/>
        <v>29.89318450360658</v>
      </c>
      <c r="K33" s="47">
        <f t="shared" si="5"/>
        <v>11927.380616939026</v>
      </c>
    </row>
    <row r="34" spans="1:11" ht="12">
      <c r="A34" s="42">
        <v>19</v>
      </c>
      <c r="B34" s="45">
        <v>2026</v>
      </c>
      <c r="C34" s="46">
        <f t="shared" si="6"/>
        <v>122.3055637511859</v>
      </c>
      <c r="D34" s="47">
        <f t="shared" si="0"/>
        <v>44641.53076918286</v>
      </c>
      <c r="E34" s="47">
        <f t="shared" si="7"/>
        <v>1892693.9402822845</v>
      </c>
      <c r="F34" s="47">
        <v>95</v>
      </c>
      <c r="G34" s="47">
        <f t="shared" si="1"/>
        <v>1798059.2432681704</v>
      </c>
      <c r="H34" s="47">
        <f t="shared" si="2"/>
        <v>205.25790448266784</v>
      </c>
      <c r="I34" s="48">
        <f t="shared" si="3"/>
        <v>630.8311049082048</v>
      </c>
      <c r="J34" s="49">
        <f t="shared" si="4"/>
        <v>31.54155524541024</v>
      </c>
      <c r="K34" s="47">
        <f t="shared" si="5"/>
        <v>12585.080542918686</v>
      </c>
    </row>
    <row r="35" spans="1:11" ht="12">
      <c r="A35" s="42">
        <v>20</v>
      </c>
      <c r="B35" s="45">
        <v>2027</v>
      </c>
      <c r="C35" s="46">
        <f t="shared" si="6"/>
        <v>125.36320284496554</v>
      </c>
      <c r="D35" s="47">
        <f t="shared" si="0"/>
        <v>45757.569038412425</v>
      </c>
      <c r="E35" s="47">
        <f t="shared" si="7"/>
        <v>1992071.919423441</v>
      </c>
      <c r="F35" s="47">
        <v>95</v>
      </c>
      <c r="G35" s="47">
        <f t="shared" si="1"/>
        <v>1892468.3234522687</v>
      </c>
      <c r="H35" s="47">
        <f t="shared" si="2"/>
        <v>216.03519674112655</v>
      </c>
      <c r="I35" s="48">
        <f t="shared" si="3"/>
        <v>663.953586599994</v>
      </c>
      <c r="J35" s="49">
        <f t="shared" si="4"/>
        <v>33.1976793299997</v>
      </c>
      <c r="K35" s="47">
        <f t="shared" si="5"/>
        <v>13245.87405266988</v>
      </c>
    </row>
    <row r="36" spans="4:11" ht="12">
      <c r="D36" s="56">
        <f>SUM(D15:D35)</f>
        <v>759079.7385749122</v>
      </c>
      <c r="F36" s="50"/>
      <c r="J36" s="52" t="s">
        <v>258</v>
      </c>
      <c r="K36" s="53">
        <f>SUM(K15:K35)</f>
        <v>137381.5247067322</v>
      </c>
    </row>
  </sheetData>
  <sheetProtection/>
  <printOptions/>
  <pageMargins left="0.75" right="0.75" top="1" bottom="1" header="0" footer="0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4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227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PIGARS'!E22</f>
        <v>72.31796</v>
      </c>
      <c r="D15" s="47">
        <f aca="true" t="shared" si="0" ref="D15:D35">+C15*365</f>
        <v>26396.0554</v>
      </c>
      <c r="E15" s="47">
        <f>2*$C$3*$C$4*D15*EXP(-1*$C$3*A15)</f>
        <v>85523.219496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74.125909</v>
      </c>
      <c r="D16" s="47">
        <f t="shared" si="0"/>
        <v>27055.956785</v>
      </c>
      <c r="E16" s="47">
        <f aca="true" t="shared" si="7" ref="E16:E35">2*$C$3*$C$4*D16*EXP(-1*$C$3*A16)+E15</f>
        <v>171448.70944007416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75.97905672499999</v>
      </c>
      <c r="D17" s="47">
        <f t="shared" si="0"/>
        <v>27732.355704625</v>
      </c>
      <c r="E17" s="47">
        <f t="shared" si="7"/>
        <v>257778.36196764896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77.87853314312498</v>
      </c>
      <c r="D18" s="47">
        <f t="shared" si="0"/>
        <v>28425.66459724062</v>
      </c>
      <c r="E18" s="47">
        <f t="shared" si="7"/>
        <v>344514.078114075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79.8254964717031</v>
      </c>
      <c r="D19" s="47">
        <f t="shared" si="0"/>
        <v>29136.306212171632</v>
      </c>
      <c r="E19" s="47">
        <f t="shared" si="7"/>
        <v>431657.76785648905</v>
      </c>
      <c r="F19" s="47">
        <v>95</v>
      </c>
      <c r="G19" s="47">
        <f t="shared" si="1"/>
        <v>410074.8794636646</v>
      </c>
      <c r="H19" s="47">
        <f t="shared" si="2"/>
        <v>46.81220085201651</v>
      </c>
      <c r="I19" s="48">
        <f t="shared" si="3"/>
        <v>143.87067071103206</v>
      </c>
      <c r="J19" s="49">
        <f t="shared" si="4"/>
        <v>7.1935335355516035</v>
      </c>
      <c r="K19" s="47">
        <f t="shared" si="5"/>
        <v>2870.2198806850897</v>
      </c>
    </row>
    <row r="20" spans="1:11" ht="12">
      <c r="A20" s="42">
        <v>5</v>
      </c>
      <c r="B20" s="45">
        <v>2012</v>
      </c>
      <c r="C20" s="46">
        <f t="shared" si="6"/>
        <v>81.82113388349568</v>
      </c>
      <c r="D20" s="47">
        <f t="shared" si="0"/>
        <v>29864.713867475923</v>
      </c>
      <c r="E20" s="47">
        <f t="shared" si="7"/>
        <v>519211.35015587305</v>
      </c>
      <c r="F20" s="47">
        <v>95</v>
      </c>
      <c r="G20" s="47">
        <f t="shared" si="1"/>
        <v>493250.7826480794</v>
      </c>
      <c r="H20" s="47">
        <f t="shared" si="2"/>
        <v>56.30716696895883</v>
      </c>
      <c r="I20" s="48">
        <f t="shared" si="3"/>
        <v>173.05210458425216</v>
      </c>
      <c r="J20" s="49">
        <f t="shared" si="4"/>
        <v>8.65260522921261</v>
      </c>
      <c r="K20" s="47">
        <f t="shared" si="5"/>
        <v>3452.3894864558306</v>
      </c>
    </row>
    <row r="21" spans="1:11" ht="12">
      <c r="A21" s="42">
        <v>6</v>
      </c>
      <c r="B21" s="45">
        <v>2013</v>
      </c>
      <c r="C21" s="46">
        <f t="shared" si="6"/>
        <v>83.86666223058306</v>
      </c>
      <c r="D21" s="47">
        <f t="shared" si="0"/>
        <v>30611.331714162818</v>
      </c>
      <c r="E21" s="47">
        <f t="shared" si="7"/>
        <v>607176.7529993108</v>
      </c>
      <c r="F21" s="47">
        <v>95</v>
      </c>
      <c r="G21" s="47">
        <f t="shared" si="1"/>
        <v>576817.9153493453</v>
      </c>
      <c r="H21" s="47">
        <f t="shared" si="2"/>
        <v>65.84679398965129</v>
      </c>
      <c r="I21" s="48">
        <f t="shared" si="3"/>
        <v>202.3707974211643</v>
      </c>
      <c r="J21" s="49">
        <f t="shared" si="4"/>
        <v>10.118539871058216</v>
      </c>
      <c r="K21" s="47">
        <f t="shared" si="5"/>
        <v>4037.297408552228</v>
      </c>
    </row>
    <row r="22" spans="1:11" ht="12">
      <c r="A22" s="42">
        <v>7</v>
      </c>
      <c r="B22" s="45">
        <v>2014</v>
      </c>
      <c r="C22" s="46">
        <f t="shared" si="6"/>
        <v>85.96332878634763</v>
      </c>
      <c r="D22" s="47">
        <f t="shared" si="0"/>
        <v>31376.615007016884</v>
      </c>
      <c r="E22" s="47">
        <f t="shared" si="7"/>
        <v>695555.9134424436</v>
      </c>
      <c r="F22" s="47">
        <v>95</v>
      </c>
      <c r="G22" s="47">
        <f t="shared" si="1"/>
        <v>660778.1177703214</v>
      </c>
      <c r="H22" s="47">
        <f t="shared" si="2"/>
        <v>75.43129198291341</v>
      </c>
      <c r="I22" s="48">
        <f t="shared" si="3"/>
        <v>231.82739483853953</v>
      </c>
      <c r="J22" s="49">
        <f t="shared" si="4"/>
        <v>11.591369741926977</v>
      </c>
      <c r="K22" s="47">
        <f t="shared" si="5"/>
        <v>4624.956527028864</v>
      </c>
    </row>
    <row r="23" spans="1:11" ht="12">
      <c r="A23" s="42">
        <v>8</v>
      </c>
      <c r="B23" s="45">
        <v>2015</v>
      </c>
      <c r="C23" s="46">
        <f t="shared" si="6"/>
        <v>88.11241200600631</v>
      </c>
      <c r="D23" s="47">
        <f t="shared" si="0"/>
        <v>32161.030382192304</v>
      </c>
      <c r="E23" s="47">
        <f t="shared" si="7"/>
        <v>784350.7776521253</v>
      </c>
      <c r="F23" s="47">
        <v>95</v>
      </c>
      <c r="G23" s="47">
        <f t="shared" si="1"/>
        <v>745133.238769519</v>
      </c>
      <c r="H23" s="47">
        <f t="shared" si="2"/>
        <v>85.06087200565285</v>
      </c>
      <c r="I23" s="48">
        <f t="shared" si="3"/>
        <v>261.422545489898</v>
      </c>
      <c r="J23" s="49">
        <f t="shared" si="4"/>
        <v>13.071127274494902</v>
      </c>
      <c r="K23" s="47">
        <f t="shared" si="5"/>
        <v>5215.379782523466</v>
      </c>
    </row>
    <row r="24" spans="1:11" ht="12">
      <c r="A24" s="42">
        <v>9</v>
      </c>
      <c r="B24" s="45">
        <v>2016</v>
      </c>
      <c r="C24" s="46">
        <f t="shared" si="6"/>
        <v>90.31522230615646</v>
      </c>
      <c r="D24" s="47">
        <f t="shared" si="0"/>
        <v>32965.0561417471</v>
      </c>
      <c r="E24" s="47">
        <f t="shared" si="7"/>
        <v>873563.3009492784</v>
      </c>
      <c r="F24" s="47">
        <v>95</v>
      </c>
      <c r="G24" s="47">
        <f t="shared" si="1"/>
        <v>829885.1359018146</v>
      </c>
      <c r="H24" s="47">
        <f t="shared" si="2"/>
        <v>94.73574610751308</v>
      </c>
      <c r="I24" s="48">
        <f t="shared" si="3"/>
        <v>291.1569010797926</v>
      </c>
      <c r="J24" s="49">
        <f t="shared" si="4"/>
        <v>14.557845053989631</v>
      </c>
      <c r="K24" s="47">
        <f t="shared" si="5"/>
        <v>5808.580176541862</v>
      </c>
    </row>
    <row r="25" spans="1:11" ht="12">
      <c r="A25" s="42">
        <v>10</v>
      </c>
      <c r="B25" s="45">
        <v>2017</v>
      </c>
      <c r="C25" s="46">
        <f t="shared" si="6"/>
        <v>92.57310286381036</v>
      </c>
      <c r="D25" s="47">
        <f t="shared" si="0"/>
        <v>33789.18254529078</v>
      </c>
      <c r="E25" s="47">
        <f t="shared" si="7"/>
        <v>963195.4478519512</v>
      </c>
      <c r="F25" s="47">
        <v>95</v>
      </c>
      <c r="G25" s="47">
        <f t="shared" si="1"/>
        <v>915035.6754593536</v>
      </c>
      <c r="H25" s="47">
        <f t="shared" si="2"/>
        <v>104.45612733554265</v>
      </c>
      <c r="I25" s="48">
        <f t="shared" si="3"/>
        <v>321.0311163781596</v>
      </c>
      <c r="J25" s="49">
        <f t="shared" si="4"/>
        <v>16.051555818907982</v>
      </c>
      <c r="K25" s="47">
        <f t="shared" si="5"/>
        <v>6404.570771744285</v>
      </c>
    </row>
    <row r="26" spans="1:11" ht="12">
      <c r="A26" s="42">
        <v>11</v>
      </c>
      <c r="B26" s="45">
        <v>2018</v>
      </c>
      <c r="C26" s="46">
        <f t="shared" si="6"/>
        <v>94.88743043540562</v>
      </c>
      <c r="D26" s="47">
        <f t="shared" si="0"/>
        <v>34633.912108923054</v>
      </c>
      <c r="E26" s="47">
        <f t="shared" si="7"/>
        <v>1053249.1921185784</v>
      </c>
      <c r="F26" s="47">
        <v>95</v>
      </c>
      <c r="G26" s="47">
        <f t="shared" si="1"/>
        <v>1000586.7325126495</v>
      </c>
      <c r="H26" s="47">
        <f t="shared" si="2"/>
        <v>114.22222973888692</v>
      </c>
      <c r="I26" s="48">
        <f t="shared" si="3"/>
        <v>351.0458492347379</v>
      </c>
      <c r="J26" s="49">
        <f t="shared" si="4"/>
        <v>17.552292461736894</v>
      </c>
      <c r="K26" s="47">
        <f t="shared" si="5"/>
        <v>7003.364692233021</v>
      </c>
    </row>
    <row r="27" spans="1:11" ht="12">
      <c r="A27" s="42">
        <v>12</v>
      </c>
      <c r="B27" s="45">
        <v>2019</v>
      </c>
      <c r="C27" s="46">
        <f t="shared" si="6"/>
        <v>97.25961619629075</v>
      </c>
      <c r="D27" s="47">
        <f t="shared" si="0"/>
        <v>35499.75991164612</v>
      </c>
      <c r="E27" s="47">
        <f t="shared" si="7"/>
        <v>1143726.5167914433</v>
      </c>
      <c r="F27" s="47">
        <v>95</v>
      </c>
      <c r="G27" s="47">
        <f t="shared" si="1"/>
        <v>1086540.1909518712</v>
      </c>
      <c r="H27" s="47">
        <f t="shared" si="2"/>
        <v>124.03426837350128</v>
      </c>
      <c r="I27" s="48">
        <f t="shared" si="3"/>
        <v>381.20176059355447</v>
      </c>
      <c r="J27" s="49">
        <f t="shared" si="4"/>
        <v>19.060088029677726</v>
      </c>
      <c r="K27" s="47">
        <f t="shared" si="5"/>
        <v>7604.975123841412</v>
      </c>
    </row>
    <row r="28" spans="1:11" ht="12">
      <c r="A28" s="42">
        <v>13</v>
      </c>
      <c r="B28" s="45">
        <v>2020</v>
      </c>
      <c r="C28" s="46">
        <f t="shared" si="6"/>
        <v>99.69110660119802</v>
      </c>
      <c r="D28" s="47">
        <f t="shared" si="0"/>
        <v>36387.25390943728</v>
      </c>
      <c r="E28" s="47">
        <f t="shared" si="7"/>
        <v>1234629.4142403472</v>
      </c>
      <c r="F28" s="47">
        <v>95</v>
      </c>
      <c r="G28" s="47">
        <f t="shared" si="1"/>
        <v>1172897.94352833</v>
      </c>
      <c r="H28" s="47">
        <f t="shared" si="2"/>
        <v>133.892459306887</v>
      </c>
      <c r="I28" s="48">
        <f t="shared" si="3"/>
        <v>411.49951450747926</v>
      </c>
      <c r="J28" s="49">
        <f t="shared" si="4"/>
        <v>20.574975725373964</v>
      </c>
      <c r="K28" s="47">
        <f t="shared" si="5"/>
        <v>8209.415314424212</v>
      </c>
    </row>
    <row r="29" spans="1:11" ht="12">
      <c r="A29" s="42">
        <v>14</v>
      </c>
      <c r="B29" s="45">
        <v>2021</v>
      </c>
      <c r="C29" s="46">
        <f t="shared" si="6"/>
        <v>102.18338426622796</v>
      </c>
      <c r="D29" s="47">
        <f t="shared" si="0"/>
        <v>37296.93525717321</v>
      </c>
      <c r="E29" s="47">
        <f t="shared" si="7"/>
        <v>1325959.8862064818</v>
      </c>
      <c r="F29" s="47">
        <v>95</v>
      </c>
      <c r="G29" s="47">
        <f t="shared" si="1"/>
        <v>1259661.8918961578</v>
      </c>
      <c r="H29" s="47">
        <f t="shared" si="2"/>
        <v>143.79701962284906</v>
      </c>
      <c r="I29" s="48">
        <f t="shared" si="3"/>
        <v>441.9397781528479</v>
      </c>
      <c r="J29" s="49">
        <f t="shared" si="4"/>
        <v>22.096988907642398</v>
      </c>
      <c r="K29" s="47">
        <f t="shared" si="5"/>
        <v>8816.698574149315</v>
      </c>
    </row>
    <row r="30" spans="1:11" ht="12">
      <c r="A30" s="42">
        <v>15</v>
      </c>
      <c r="B30" s="45">
        <v>2022</v>
      </c>
      <c r="C30" s="46">
        <f t="shared" si="6"/>
        <v>104.73796887288366</v>
      </c>
      <c r="D30" s="47">
        <f t="shared" si="0"/>
        <v>38229.358638602534</v>
      </c>
      <c r="E30" s="47">
        <f t="shared" si="7"/>
        <v>1417719.9438465089</v>
      </c>
      <c r="F30" s="47">
        <v>95</v>
      </c>
      <c r="G30" s="47">
        <f t="shared" si="1"/>
        <v>1346833.9466541833</v>
      </c>
      <c r="H30" s="47">
        <f t="shared" si="2"/>
        <v>153.74816742627664</v>
      </c>
      <c r="I30" s="48">
        <f t="shared" si="3"/>
        <v>472.5232218441537</v>
      </c>
      <c r="J30" s="49">
        <f t="shared" si="4"/>
        <v>23.626161092207685</v>
      </c>
      <c r="K30" s="47">
        <f t="shared" si="5"/>
        <v>9426.838275790866</v>
      </c>
    </row>
    <row r="31" spans="1:11" ht="12">
      <c r="A31" s="42">
        <v>16</v>
      </c>
      <c r="B31" s="45">
        <v>2023</v>
      </c>
      <c r="C31" s="46">
        <f t="shared" si="6"/>
        <v>107.35641809470573</v>
      </c>
      <c r="D31" s="47">
        <f t="shared" si="0"/>
        <v>39185.092604567595</v>
      </c>
      <c r="E31" s="47">
        <f t="shared" si="7"/>
        <v>1509911.6077768474</v>
      </c>
      <c r="F31" s="47">
        <v>95</v>
      </c>
      <c r="G31" s="47">
        <f t="shared" si="1"/>
        <v>1434416.027388005</v>
      </c>
      <c r="H31" s="47">
        <f t="shared" si="2"/>
        <v>163.74612184794577</v>
      </c>
      <c r="I31" s="48">
        <f t="shared" si="3"/>
        <v>503.25051904880763</v>
      </c>
      <c r="J31" s="49">
        <f t="shared" si="4"/>
        <v>25.162525952440383</v>
      </c>
      <c r="K31" s="47">
        <f t="shared" si="5"/>
        <v>10039.847855023712</v>
      </c>
    </row>
    <row r="32" spans="1:11" ht="12">
      <c r="A32" s="42">
        <v>17</v>
      </c>
      <c r="B32" s="45">
        <v>2024</v>
      </c>
      <c r="C32" s="46">
        <f t="shared" si="6"/>
        <v>110.04032854707336</v>
      </c>
      <c r="D32" s="47">
        <f t="shared" si="0"/>
        <v>40164.719919681775</v>
      </c>
      <c r="E32" s="47">
        <f t="shared" si="7"/>
        <v>1602536.908118169</v>
      </c>
      <c r="F32" s="47">
        <v>95</v>
      </c>
      <c r="G32" s="47">
        <f t="shared" si="1"/>
        <v>1522410.0627122605</v>
      </c>
      <c r="H32" s="47">
        <f t="shared" si="2"/>
        <v>173.7911030493448</v>
      </c>
      <c r="I32" s="48">
        <f t="shared" si="3"/>
        <v>534.1223464019695</v>
      </c>
      <c r="J32" s="49">
        <f t="shared" si="4"/>
        <v>26.706117320098475</v>
      </c>
      <c r="K32" s="47">
        <f t="shared" si="5"/>
        <v>10655.740810719291</v>
      </c>
    </row>
    <row r="33" spans="1:11" ht="12">
      <c r="A33" s="42">
        <v>18</v>
      </c>
      <c r="B33" s="45">
        <v>2025</v>
      </c>
      <c r="C33" s="46">
        <f t="shared" si="6"/>
        <v>112.79133676075018</v>
      </c>
      <c r="D33" s="47">
        <f t="shared" si="0"/>
        <v>41168.837917673816</v>
      </c>
      <c r="E33" s="47">
        <f t="shared" si="7"/>
        <v>1695597.8845401022</v>
      </c>
      <c r="F33" s="47">
        <v>95</v>
      </c>
      <c r="G33" s="47">
        <f t="shared" si="1"/>
        <v>1610817.9903130971</v>
      </c>
      <c r="H33" s="47">
        <f t="shared" si="2"/>
        <v>183.88333222752252</v>
      </c>
      <c r="I33" s="48">
        <f t="shared" si="3"/>
        <v>565.1393837214468</v>
      </c>
      <c r="J33" s="49">
        <f t="shared" si="4"/>
        <v>28.256969186072343</v>
      </c>
      <c r="K33" s="47">
        <f t="shared" si="5"/>
        <v>11274.530705242865</v>
      </c>
    </row>
    <row r="34" spans="1:11" ht="12">
      <c r="A34" s="42">
        <v>19</v>
      </c>
      <c r="B34" s="45">
        <v>2026</v>
      </c>
      <c r="C34" s="46">
        <f t="shared" si="6"/>
        <v>115.61112017976893</v>
      </c>
      <c r="D34" s="47">
        <f t="shared" si="0"/>
        <v>42198.05886561566</v>
      </c>
      <c r="E34" s="47">
        <f t="shared" si="7"/>
        <v>1789096.5863061477</v>
      </c>
      <c r="F34" s="47">
        <v>95</v>
      </c>
      <c r="G34" s="47">
        <f t="shared" si="1"/>
        <v>1699641.7569908404</v>
      </c>
      <c r="H34" s="47">
        <f t="shared" si="2"/>
        <v>194.02303161995894</v>
      </c>
      <c r="I34" s="48">
        <f t="shared" si="3"/>
        <v>596.3023140226663</v>
      </c>
      <c r="J34" s="49">
        <f t="shared" si="4"/>
        <v>29.81511570113332</v>
      </c>
      <c r="K34" s="47">
        <f t="shared" si="5"/>
        <v>11896.231164752193</v>
      </c>
    </row>
    <row r="35" spans="1:11" ht="12">
      <c r="A35" s="42">
        <v>20</v>
      </c>
      <c r="B35" s="45">
        <v>2027</v>
      </c>
      <c r="C35" s="46">
        <f t="shared" si="6"/>
        <v>118.50139818426314</v>
      </c>
      <c r="D35" s="47">
        <f t="shared" si="0"/>
        <v>43253.01033725605</v>
      </c>
      <c r="E35" s="47">
        <f t="shared" si="7"/>
        <v>1883035.072318804</v>
      </c>
      <c r="F35" s="47">
        <v>95</v>
      </c>
      <c r="G35" s="47">
        <f t="shared" si="1"/>
        <v>1788883.3187028638</v>
      </c>
      <c r="H35" s="47">
        <f t="shared" si="2"/>
        <v>204.21042450945933</v>
      </c>
      <c r="I35" s="48">
        <f t="shared" si="3"/>
        <v>627.6118235337126</v>
      </c>
      <c r="J35" s="49">
        <f t="shared" si="4"/>
        <v>31.38059117668563</v>
      </c>
      <c r="K35" s="47">
        <f t="shared" si="5"/>
        <v>12520.855879497567</v>
      </c>
    </row>
    <row r="36" spans="4:11" ht="12">
      <c r="D36" s="56">
        <f>SUM(D15:D35)</f>
        <v>717531.2078275002</v>
      </c>
      <c r="F36" s="50"/>
      <c r="J36" s="52" t="s">
        <v>258</v>
      </c>
      <c r="K36" s="53">
        <f>SUM(K15:K35)</f>
        <v>129861.89242920608</v>
      </c>
    </row>
  </sheetData>
  <sheetProtection/>
  <printOptions/>
  <pageMargins left="0.75" right="0.75" top="1" bottom="1" header="0" footer="0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6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141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PIGARS'!E23</f>
        <v>60.769800000000004</v>
      </c>
      <c r="D15" s="47">
        <f aca="true" t="shared" si="0" ref="D15:D35">+C15*365</f>
        <v>22180.977000000003</v>
      </c>
      <c r="E15" s="47">
        <f>2*$C$3*$C$4*D15*EXP(-1*$C$3*A15)</f>
        <v>71866.36548000001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62.289045</v>
      </c>
      <c r="D16" s="47">
        <f t="shared" si="0"/>
        <v>22735.501425000002</v>
      </c>
      <c r="E16" s="47">
        <f aca="true" t="shared" si="7" ref="E16:E35">2*$C$3*$C$4*D16*EXP(-1*$C$3*A16)+E15</f>
        <v>144070.7644813463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63.846271124999994</v>
      </c>
      <c r="D17" s="47">
        <f t="shared" si="0"/>
        <v>23303.888960624998</v>
      </c>
      <c r="E17" s="47">
        <f t="shared" si="7"/>
        <v>216614.7869920783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65.442427903125</v>
      </c>
      <c r="D18" s="47">
        <f t="shared" si="0"/>
        <v>23886.486184640624</v>
      </c>
      <c r="E18" s="47">
        <f t="shared" si="7"/>
        <v>289500.03047896706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67.07848860070311</v>
      </c>
      <c r="D19" s="47">
        <f t="shared" si="0"/>
        <v>24483.648339256637</v>
      </c>
      <c r="E19" s="47">
        <f t="shared" si="7"/>
        <v>362728.09992269246</v>
      </c>
      <c r="F19" s="47">
        <v>95</v>
      </c>
      <c r="G19" s="47">
        <f t="shared" si="1"/>
        <v>344591.69492655783</v>
      </c>
      <c r="H19" s="47">
        <f t="shared" si="2"/>
        <v>39.33695147563446</v>
      </c>
      <c r="I19" s="48">
        <f t="shared" si="3"/>
        <v>120.89655024803353</v>
      </c>
      <c r="J19" s="49">
        <f t="shared" si="4"/>
        <v>6.044827512401677</v>
      </c>
      <c r="K19" s="47">
        <f t="shared" si="5"/>
        <v>2411.886177448269</v>
      </c>
    </row>
    <row r="20" spans="1:11" ht="12">
      <c r="A20" s="42">
        <v>5</v>
      </c>
      <c r="B20" s="45">
        <v>2012</v>
      </c>
      <c r="C20" s="46">
        <f t="shared" si="6"/>
        <v>68.75545081572068</v>
      </c>
      <c r="D20" s="47">
        <f t="shared" si="0"/>
        <v>25095.73954773805</v>
      </c>
      <c r="E20" s="47">
        <f t="shared" si="7"/>
        <v>436300.60785318585</v>
      </c>
      <c r="F20" s="47">
        <v>95</v>
      </c>
      <c r="G20" s="47">
        <f t="shared" si="1"/>
        <v>414485.57746052655</v>
      </c>
      <c r="H20" s="47">
        <f t="shared" si="2"/>
        <v>47.315705189557825</v>
      </c>
      <c r="I20" s="48">
        <f t="shared" si="3"/>
        <v>145.41811999625114</v>
      </c>
      <c r="J20" s="49">
        <f t="shared" si="4"/>
        <v>7.270905999812557</v>
      </c>
      <c r="K20" s="47">
        <f t="shared" si="5"/>
        <v>2901.09149392521</v>
      </c>
    </row>
    <row r="21" spans="1:11" ht="12">
      <c r="A21" s="42">
        <v>6</v>
      </c>
      <c r="B21" s="45">
        <v>2013</v>
      </c>
      <c r="C21" s="46">
        <f t="shared" si="6"/>
        <v>70.47433708611369</v>
      </c>
      <c r="D21" s="47">
        <f t="shared" si="0"/>
        <v>25723.133036431496</v>
      </c>
      <c r="E21" s="47">
        <f t="shared" si="7"/>
        <v>510219.17438513925</v>
      </c>
      <c r="F21" s="47">
        <v>95</v>
      </c>
      <c r="G21" s="47">
        <f t="shared" si="1"/>
        <v>484708.2156658823</v>
      </c>
      <c r="H21" s="47">
        <f t="shared" si="2"/>
        <v>55.33198808971259</v>
      </c>
      <c r="I21" s="48">
        <f t="shared" si="3"/>
        <v>170.05503038421813</v>
      </c>
      <c r="J21" s="49">
        <f t="shared" si="4"/>
        <v>8.502751519210907</v>
      </c>
      <c r="K21" s="47">
        <f t="shared" si="5"/>
        <v>3392.597856165152</v>
      </c>
    </row>
    <row r="22" spans="1:11" ht="12">
      <c r="A22" s="42">
        <v>7</v>
      </c>
      <c r="B22" s="45">
        <v>2014</v>
      </c>
      <c r="C22" s="46">
        <f t="shared" si="6"/>
        <v>72.23619551326652</v>
      </c>
      <c r="D22" s="47">
        <f t="shared" si="0"/>
        <v>26366.21136234228</v>
      </c>
      <c r="E22" s="47">
        <f t="shared" si="7"/>
        <v>584485.427253681</v>
      </c>
      <c r="F22" s="47">
        <v>95</v>
      </c>
      <c r="G22" s="47">
        <f t="shared" si="1"/>
        <v>555261.155890997</v>
      </c>
      <c r="H22" s="47">
        <f t="shared" si="2"/>
        <v>63.385976699885504</v>
      </c>
      <c r="I22" s="48">
        <f t="shared" si="3"/>
        <v>194.80782393279736</v>
      </c>
      <c r="J22" s="49">
        <f t="shared" si="4"/>
        <v>9.74039119663987</v>
      </c>
      <c r="K22" s="47">
        <f t="shared" si="5"/>
        <v>3886.416087459307</v>
      </c>
    </row>
    <row r="23" spans="1:11" ht="12">
      <c r="A23" s="42">
        <v>8</v>
      </c>
      <c r="B23" s="45">
        <v>2015</v>
      </c>
      <c r="C23" s="46">
        <f t="shared" si="6"/>
        <v>74.04210040109818</v>
      </c>
      <c r="D23" s="47">
        <f t="shared" si="0"/>
        <v>27025.366646400835</v>
      </c>
      <c r="E23" s="47">
        <f t="shared" si="7"/>
        <v>659101.0018502199</v>
      </c>
      <c r="F23" s="47">
        <v>95</v>
      </c>
      <c r="G23" s="47">
        <f t="shared" si="1"/>
        <v>626145.9517577089</v>
      </c>
      <c r="H23" s="47">
        <f t="shared" si="2"/>
        <v>71.47784837416768</v>
      </c>
      <c r="I23" s="48">
        <f t="shared" si="3"/>
        <v>219.6770457146746</v>
      </c>
      <c r="J23" s="49">
        <f t="shared" si="4"/>
        <v>10.98385228573373</v>
      </c>
      <c r="K23" s="47">
        <f t="shared" si="5"/>
        <v>4382.557062007759</v>
      </c>
    </row>
    <row r="24" spans="1:11" ht="12">
      <c r="A24" s="42">
        <v>9</v>
      </c>
      <c r="B24" s="45">
        <v>2016</v>
      </c>
      <c r="C24" s="46">
        <f t="shared" si="6"/>
        <v>75.89315291112563</v>
      </c>
      <c r="D24" s="47">
        <f t="shared" si="0"/>
        <v>27701.000812560855</v>
      </c>
      <c r="E24" s="47">
        <f t="shared" si="7"/>
        <v>734067.5412584572</v>
      </c>
      <c r="F24" s="47">
        <v>95</v>
      </c>
      <c r="G24" s="47">
        <f t="shared" si="1"/>
        <v>697364.1641955344</v>
      </c>
      <c r="H24" s="47">
        <f t="shared" si="2"/>
        <v>79.6077813008601</v>
      </c>
      <c r="I24" s="48">
        <f t="shared" si="3"/>
        <v>244.66324336636129</v>
      </c>
      <c r="J24" s="49">
        <f t="shared" si="4"/>
        <v>12.233162168318065</v>
      </c>
      <c r="K24" s="47">
        <f t="shared" si="5"/>
        <v>4881.031705158907</v>
      </c>
    </row>
    <row r="25" spans="1:11" ht="12">
      <c r="A25" s="42">
        <v>10</v>
      </c>
      <c r="B25" s="45">
        <v>2017</v>
      </c>
      <c r="C25" s="46">
        <f t="shared" si="6"/>
        <v>77.79048173390376</v>
      </c>
      <c r="D25" s="47">
        <f t="shared" si="0"/>
        <v>28393.52583287487</v>
      </c>
      <c r="E25" s="47">
        <f t="shared" si="7"/>
        <v>809386.6962905689</v>
      </c>
      <c r="F25" s="47">
        <v>95</v>
      </c>
      <c r="G25" s="47">
        <f t="shared" si="1"/>
        <v>768917.3614760404</v>
      </c>
      <c r="H25" s="47">
        <f t="shared" si="2"/>
        <v>87.77595450639731</v>
      </c>
      <c r="I25" s="48">
        <f t="shared" si="3"/>
        <v>269.76696710025396</v>
      </c>
      <c r="J25" s="49">
        <f t="shared" si="4"/>
        <v>13.488348355012699</v>
      </c>
      <c r="K25" s="47">
        <f t="shared" si="5"/>
        <v>5381.850993650067</v>
      </c>
    </row>
    <row r="26" spans="1:11" ht="12">
      <c r="A26" s="42">
        <v>11</v>
      </c>
      <c r="B26" s="45">
        <v>2018</v>
      </c>
      <c r="C26" s="46">
        <f t="shared" si="6"/>
        <v>79.73524377725134</v>
      </c>
      <c r="D26" s="47">
        <f t="shared" si="0"/>
        <v>29103.36397869674</v>
      </c>
      <c r="E26" s="47">
        <f t="shared" si="7"/>
        <v>885060.1255235571</v>
      </c>
      <c r="F26" s="47">
        <v>95</v>
      </c>
      <c r="G26" s="47">
        <f t="shared" si="1"/>
        <v>840807.1192473791</v>
      </c>
      <c r="H26" s="47">
        <f t="shared" si="2"/>
        <v>95.98254785928985</v>
      </c>
      <c r="I26" s="48">
        <f t="shared" si="3"/>
        <v>294.9887697167504</v>
      </c>
      <c r="J26" s="49">
        <f t="shared" si="4"/>
        <v>14.749438485837523</v>
      </c>
      <c r="K26" s="47">
        <f t="shared" si="5"/>
        <v>5885.025955849171</v>
      </c>
    </row>
    <row r="27" spans="1:11" ht="12">
      <c r="A27" s="42">
        <v>12</v>
      </c>
      <c r="B27" s="45">
        <v>2019</v>
      </c>
      <c r="C27" s="46">
        <f t="shared" si="6"/>
        <v>81.72862487168261</v>
      </c>
      <c r="D27" s="47">
        <f t="shared" si="0"/>
        <v>29830.948078164154</v>
      </c>
      <c r="E27" s="47">
        <f t="shared" si="7"/>
        <v>961089.4953357734</v>
      </c>
      <c r="F27" s="47">
        <v>95</v>
      </c>
      <c r="G27" s="47">
        <f t="shared" si="1"/>
        <v>913035.0205689848</v>
      </c>
      <c r="H27" s="47">
        <f t="shared" si="2"/>
        <v>104.22774207408503</v>
      </c>
      <c r="I27" s="48">
        <f t="shared" si="3"/>
        <v>320.3292066164226</v>
      </c>
      <c r="J27" s="49">
        <f t="shared" si="4"/>
        <v>16.01646033082113</v>
      </c>
      <c r="K27" s="47">
        <f t="shared" si="5"/>
        <v>6390.567671997631</v>
      </c>
    </row>
    <row r="28" spans="1:11" ht="12">
      <c r="A28" s="42">
        <v>13</v>
      </c>
      <c r="B28" s="45">
        <v>2020</v>
      </c>
      <c r="C28" s="46">
        <f t="shared" si="6"/>
        <v>83.77184049347467</v>
      </c>
      <c r="D28" s="47">
        <f t="shared" si="0"/>
        <v>30576.721780118256</v>
      </c>
      <c r="E28" s="47">
        <f t="shared" si="7"/>
        <v>1037476.4799436136</v>
      </c>
      <c r="F28" s="47">
        <v>95</v>
      </c>
      <c r="G28" s="47">
        <f t="shared" si="1"/>
        <v>985602.655946433</v>
      </c>
      <c r="H28" s="47">
        <f t="shared" si="2"/>
        <v>112.51171871534623</v>
      </c>
      <c r="I28" s="48">
        <f t="shared" si="3"/>
        <v>345.78883581224653</v>
      </c>
      <c r="J28" s="49">
        <f t="shared" si="4"/>
        <v>17.289441790612326</v>
      </c>
      <c r="K28" s="47">
        <f t="shared" si="5"/>
        <v>6898.487274454318</v>
      </c>
    </row>
    <row r="29" spans="1:11" ht="12">
      <c r="A29" s="42">
        <v>14</v>
      </c>
      <c r="B29" s="45">
        <v>2021</v>
      </c>
      <c r="C29" s="46">
        <f t="shared" si="6"/>
        <v>85.86613650581153</v>
      </c>
      <c r="D29" s="47">
        <f t="shared" si="0"/>
        <v>31341.13982462121</v>
      </c>
      <c r="E29" s="47">
        <f t="shared" si="7"/>
        <v>1114222.761438385</v>
      </c>
      <c r="F29" s="47">
        <v>95</v>
      </c>
      <c r="G29" s="47">
        <f t="shared" si="1"/>
        <v>1058511.6233664656</v>
      </c>
      <c r="H29" s="47">
        <f t="shared" si="2"/>
        <v>120.83466020165132</v>
      </c>
      <c r="I29" s="48">
        <f t="shared" si="3"/>
        <v>371.36821794189075</v>
      </c>
      <c r="J29" s="49">
        <f t="shared" si="4"/>
        <v>18.568410897094537</v>
      </c>
      <c r="K29" s="47">
        <f t="shared" si="5"/>
        <v>7408.795947940721</v>
      </c>
    </row>
    <row r="30" spans="1:11" ht="12">
      <c r="A30" s="42">
        <v>15</v>
      </c>
      <c r="B30" s="45">
        <v>2022</v>
      </c>
      <c r="C30" s="46">
        <f t="shared" si="6"/>
        <v>88.0127899184568</v>
      </c>
      <c r="D30" s="47">
        <f t="shared" si="0"/>
        <v>32124.668320236735</v>
      </c>
      <c r="E30" s="47">
        <f t="shared" si="7"/>
        <v>1191330.0298233465</v>
      </c>
      <c r="F30" s="47">
        <v>95</v>
      </c>
      <c r="G30" s="47">
        <f t="shared" si="1"/>
        <v>1131763.5283321792</v>
      </c>
      <c r="H30" s="47">
        <f t="shared" si="2"/>
        <v>129.19674980960949</v>
      </c>
      <c r="I30" s="48">
        <f t="shared" si="3"/>
        <v>397.06791628006175</v>
      </c>
      <c r="J30" s="49">
        <f t="shared" si="4"/>
        <v>19.85339581400309</v>
      </c>
      <c r="K30" s="47">
        <f t="shared" si="5"/>
        <v>7921.504929787232</v>
      </c>
    </row>
    <row r="31" spans="1:11" ht="12">
      <c r="A31" s="42">
        <v>16</v>
      </c>
      <c r="B31" s="45">
        <v>2023</v>
      </c>
      <c r="C31" s="46">
        <f t="shared" si="6"/>
        <v>90.21310966641822</v>
      </c>
      <c r="D31" s="47">
        <f t="shared" si="0"/>
        <v>32927.78502824265</v>
      </c>
      <c r="E31" s="47">
        <f t="shared" si="7"/>
        <v>1268799.983050925</v>
      </c>
      <c r="F31" s="47">
        <v>95</v>
      </c>
      <c r="G31" s="47">
        <f t="shared" si="1"/>
        <v>1205359.9838983787</v>
      </c>
      <c r="H31" s="47">
        <f t="shared" si="2"/>
        <v>137.5981716778971</v>
      </c>
      <c r="I31" s="48">
        <f t="shared" si="3"/>
        <v>422.8884967509071</v>
      </c>
      <c r="J31" s="49">
        <f t="shared" si="4"/>
        <v>21.14442483754536</v>
      </c>
      <c r="K31" s="47">
        <f t="shared" si="5"/>
        <v>8436.625510180596</v>
      </c>
    </row>
    <row r="32" spans="1:11" ht="12">
      <c r="A32" s="42">
        <v>17</v>
      </c>
      <c r="B32" s="45">
        <v>2024</v>
      </c>
      <c r="C32" s="46">
        <f t="shared" si="6"/>
        <v>92.46843740807867</v>
      </c>
      <c r="D32" s="47">
        <f t="shared" si="0"/>
        <v>33750.979653948714</v>
      </c>
      <c r="E32" s="47">
        <f t="shared" si="7"/>
        <v>1346634.3270601039</v>
      </c>
      <c r="F32" s="47">
        <v>95</v>
      </c>
      <c r="G32" s="47">
        <f t="shared" si="1"/>
        <v>1279302.6107070986</v>
      </c>
      <c r="H32" s="47">
        <f t="shared" si="2"/>
        <v>146.03911081131264</v>
      </c>
      <c r="I32" s="48">
        <f t="shared" si="3"/>
        <v>448.8305279404785</v>
      </c>
      <c r="J32" s="49">
        <f t="shared" si="4"/>
        <v>22.441526397023924</v>
      </c>
      <c r="K32" s="47">
        <f t="shared" si="5"/>
        <v>8954.169032412545</v>
      </c>
    </row>
    <row r="33" spans="1:11" ht="12">
      <c r="A33" s="42">
        <v>18</v>
      </c>
      <c r="B33" s="45">
        <v>2025</v>
      </c>
      <c r="C33" s="46">
        <f t="shared" si="6"/>
        <v>94.78014834328063</v>
      </c>
      <c r="D33" s="47">
        <f t="shared" si="0"/>
        <v>34594.75414529743</v>
      </c>
      <c r="E33" s="47">
        <f t="shared" si="7"/>
        <v>1424834.77581399</v>
      </c>
      <c r="F33" s="47">
        <v>95</v>
      </c>
      <c r="G33" s="47">
        <f t="shared" si="1"/>
        <v>1353593.0370232903</v>
      </c>
      <c r="H33" s="47">
        <f t="shared" si="2"/>
        <v>154.5197530848505</v>
      </c>
      <c r="I33" s="48">
        <f t="shared" si="3"/>
        <v>474.89458110925113</v>
      </c>
      <c r="J33" s="49">
        <f t="shared" si="4"/>
        <v>23.744729055462557</v>
      </c>
      <c r="K33" s="47">
        <f t="shared" si="5"/>
        <v>9474.14689312956</v>
      </c>
    </row>
    <row r="34" spans="1:11" ht="12">
      <c r="A34" s="42">
        <v>19</v>
      </c>
      <c r="B34" s="45">
        <v>2026</v>
      </c>
      <c r="C34" s="46">
        <f t="shared" si="6"/>
        <v>97.14965205186263</v>
      </c>
      <c r="D34" s="47">
        <f t="shared" si="0"/>
        <v>35459.62299892986</v>
      </c>
      <c r="E34" s="47">
        <f t="shared" si="7"/>
        <v>1503403.051337556</v>
      </c>
      <c r="F34" s="47">
        <v>95</v>
      </c>
      <c r="G34" s="47">
        <f t="shared" si="1"/>
        <v>1428232.898770678</v>
      </c>
      <c r="H34" s="47">
        <f t="shared" si="2"/>
        <v>163.04028524779432</v>
      </c>
      <c r="I34" s="48">
        <f t="shared" si="3"/>
        <v>501.08123020470464</v>
      </c>
      <c r="J34" s="49">
        <f t="shared" si="4"/>
        <v>25.054061510235233</v>
      </c>
      <c r="K34" s="47">
        <f t="shared" si="5"/>
        <v>9996.570542583859</v>
      </c>
    </row>
    <row r="35" spans="1:11" ht="12">
      <c r="A35" s="42">
        <v>20</v>
      </c>
      <c r="B35" s="45">
        <v>2027</v>
      </c>
      <c r="C35" s="46">
        <f t="shared" si="6"/>
        <v>99.57839335315919</v>
      </c>
      <c r="D35" s="47">
        <f t="shared" si="0"/>
        <v>36346.1135739031</v>
      </c>
      <c r="E35" s="47">
        <f t="shared" si="7"/>
        <v>1582340.88375556</v>
      </c>
      <c r="F35" s="47">
        <v>95</v>
      </c>
      <c r="G35" s="47">
        <f t="shared" si="1"/>
        <v>1503223.839567782</v>
      </c>
      <c r="H35" s="47">
        <f t="shared" si="2"/>
        <v>171.600894927829</v>
      </c>
      <c r="I35" s="48">
        <f t="shared" si="3"/>
        <v>527.3910518739606</v>
      </c>
      <c r="J35" s="49">
        <f t="shared" si="4"/>
        <v>26.36955259369803</v>
      </c>
      <c r="K35" s="47">
        <f t="shared" si="5"/>
        <v>10521.451484885514</v>
      </c>
    </row>
    <row r="36" spans="4:11" ht="12">
      <c r="D36" s="56">
        <f>SUM(D15:D35)</f>
        <v>602951.5765300294</v>
      </c>
      <c r="F36" s="50"/>
      <c r="J36" s="52" t="s">
        <v>258</v>
      </c>
      <c r="K36" s="53">
        <f>SUM(K15:K35)</f>
        <v>109124.77661903582</v>
      </c>
    </row>
  </sheetData>
  <sheetProtection/>
  <printOptions/>
  <pageMargins left="0.75" right="0.75" top="1" bottom="1" header="0" footer="0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2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125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PIGARS'!E24</f>
        <v>54.27656</v>
      </c>
      <c r="D15" s="47">
        <f aca="true" t="shared" si="0" ref="D15:D35">+C15*365</f>
        <v>19810.9444</v>
      </c>
      <c r="E15" s="47">
        <f>2*$C$3*$C$4*D15*EXP(-1*$C$3*A15)</f>
        <v>64187.45985600001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55.633474</v>
      </c>
      <c r="D16" s="47">
        <f t="shared" si="0"/>
        <v>20306.21801</v>
      </c>
      <c r="E16" s="47">
        <f aca="true" t="shared" si="7" ref="E16:E35">2*$C$3*$C$4*D16*EXP(-1*$C$3*A16)+E15</f>
        <v>128676.83442462637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57.02431084999999</v>
      </c>
      <c r="D17" s="47">
        <f t="shared" si="0"/>
        <v>20813.873460249997</v>
      </c>
      <c r="E17" s="47">
        <f t="shared" si="7"/>
        <v>193469.54380404006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58.449918621249985</v>
      </c>
      <c r="D18" s="47">
        <f t="shared" si="0"/>
        <v>21334.220296756244</v>
      </c>
      <c r="E18" s="47">
        <f t="shared" si="7"/>
        <v>258567.01477203282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59.91116658678123</v>
      </c>
      <c r="D19" s="47">
        <f t="shared" si="0"/>
        <v>21867.575804175147</v>
      </c>
      <c r="E19" s="47">
        <f t="shared" si="7"/>
        <v>323970.6808174456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61.40894575145075</v>
      </c>
      <c r="D20" s="47">
        <f t="shared" si="0"/>
        <v>22414.265199279525</v>
      </c>
      <c r="E20" s="47">
        <f t="shared" si="7"/>
        <v>389681.98217173514</v>
      </c>
      <c r="F20" s="47">
        <v>95</v>
      </c>
      <c r="G20" s="47">
        <f t="shared" si="1"/>
        <v>370197.8830631484</v>
      </c>
      <c r="H20" s="47">
        <f t="shared" si="2"/>
        <v>42.2600323131448</v>
      </c>
      <c r="I20" s="48">
        <f t="shared" si="3"/>
        <v>129.880225293875</v>
      </c>
      <c r="J20" s="49">
        <f t="shared" si="4"/>
        <v>6.49401126469375</v>
      </c>
      <c r="K20" s="47">
        <f t="shared" si="5"/>
        <v>2591.1104946128057</v>
      </c>
    </row>
    <row r="21" spans="1:11" ht="12">
      <c r="A21" s="42">
        <v>6</v>
      </c>
      <c r="B21" s="45">
        <v>2013</v>
      </c>
      <c r="C21" s="46">
        <f t="shared" si="6"/>
        <v>62.94416939523701</v>
      </c>
      <c r="D21" s="47">
        <f t="shared" si="0"/>
        <v>22974.62182926151</v>
      </c>
      <c r="E21" s="47">
        <f t="shared" si="7"/>
        <v>455702.36584068846</v>
      </c>
      <c r="F21" s="47">
        <v>95</v>
      </c>
      <c r="G21" s="47">
        <f t="shared" si="1"/>
        <v>432917.247548654</v>
      </c>
      <c r="H21" s="47">
        <f t="shared" si="2"/>
        <v>49.41977711742625</v>
      </c>
      <c r="I21" s="48">
        <f t="shared" si="3"/>
        <v>151.88468712996973</v>
      </c>
      <c r="J21" s="49">
        <f t="shared" si="4"/>
        <v>7.594234356498487</v>
      </c>
      <c r="K21" s="47">
        <f t="shared" si="5"/>
        <v>3030.0995082428963</v>
      </c>
    </row>
    <row r="22" spans="1:11" ht="12">
      <c r="A22" s="42">
        <v>7</v>
      </c>
      <c r="B22" s="45">
        <v>2014</v>
      </c>
      <c r="C22" s="46">
        <f t="shared" si="6"/>
        <v>64.51777363011793</v>
      </c>
      <c r="D22" s="47">
        <f t="shared" si="0"/>
        <v>23548.987374993045</v>
      </c>
      <c r="E22" s="47">
        <f t="shared" si="7"/>
        <v>522033.28563628724</v>
      </c>
      <c r="F22" s="47">
        <v>95</v>
      </c>
      <c r="G22" s="47">
        <f t="shared" si="1"/>
        <v>495931.6213544729</v>
      </c>
      <c r="H22" s="47">
        <f t="shared" si="2"/>
        <v>56.61319878475718</v>
      </c>
      <c r="I22" s="48">
        <f t="shared" si="3"/>
        <v>173.99265003600325</v>
      </c>
      <c r="J22" s="49">
        <f t="shared" si="4"/>
        <v>8.699632501800163</v>
      </c>
      <c r="K22" s="47">
        <f t="shared" si="5"/>
        <v>3471.1533682182653</v>
      </c>
    </row>
    <row r="23" spans="1:11" ht="12">
      <c r="A23" s="42">
        <v>8</v>
      </c>
      <c r="B23" s="45">
        <v>2015</v>
      </c>
      <c r="C23" s="46">
        <f t="shared" si="6"/>
        <v>66.13071797087088</v>
      </c>
      <c r="D23" s="47">
        <f t="shared" si="0"/>
        <v>24137.71205936787</v>
      </c>
      <c r="E23" s="47">
        <f t="shared" si="7"/>
        <v>588676.2022087215</v>
      </c>
      <c r="F23" s="47">
        <v>95</v>
      </c>
      <c r="G23" s="47">
        <f t="shared" si="1"/>
        <v>559242.3920982855</v>
      </c>
      <c r="H23" s="47">
        <f t="shared" si="2"/>
        <v>63.84045571898236</v>
      </c>
      <c r="I23" s="48">
        <f t="shared" si="3"/>
        <v>196.20460084376245</v>
      </c>
      <c r="J23" s="49">
        <f t="shared" si="4"/>
        <v>9.810230042188124</v>
      </c>
      <c r="K23" s="47">
        <f t="shared" si="5"/>
        <v>3914.281786833061</v>
      </c>
    </row>
    <row r="24" spans="1:11" ht="12">
      <c r="A24" s="42">
        <v>9</v>
      </c>
      <c r="B24" s="45">
        <v>2016</v>
      </c>
      <c r="C24" s="46">
        <f t="shared" si="6"/>
        <v>67.78398592014264</v>
      </c>
      <c r="D24" s="47">
        <f t="shared" si="0"/>
        <v>24741.154860852064</v>
      </c>
      <c r="E24" s="47">
        <f t="shared" si="7"/>
        <v>655632.5830785542</v>
      </c>
      <c r="F24" s="47">
        <v>95</v>
      </c>
      <c r="G24" s="47">
        <f t="shared" si="1"/>
        <v>622850.9539246266</v>
      </c>
      <c r="H24" s="47">
        <f t="shared" si="2"/>
        <v>71.1017070690213</v>
      </c>
      <c r="I24" s="48">
        <f t="shared" si="3"/>
        <v>218.52102867491598</v>
      </c>
      <c r="J24" s="49">
        <f t="shared" si="4"/>
        <v>10.9260514337458</v>
      </c>
      <c r="K24" s="47">
        <f t="shared" si="5"/>
        <v>4359.494522064573</v>
      </c>
    </row>
    <row r="25" spans="1:11" ht="12">
      <c r="A25" s="42">
        <v>10</v>
      </c>
      <c r="B25" s="45">
        <v>2017</v>
      </c>
      <c r="C25" s="46">
        <f t="shared" si="6"/>
        <v>69.4785855681462</v>
      </c>
      <c r="D25" s="47">
        <f t="shared" si="0"/>
        <v>25359.683732373363</v>
      </c>
      <c r="E25" s="47">
        <f t="shared" si="7"/>
        <v>722903.9026690369</v>
      </c>
      <c r="F25" s="47">
        <v>95</v>
      </c>
      <c r="G25" s="47">
        <f t="shared" si="1"/>
        <v>686758.707535585</v>
      </c>
      <c r="H25" s="47">
        <f t="shared" si="2"/>
        <v>78.39711273237272</v>
      </c>
      <c r="I25" s="48">
        <f t="shared" si="3"/>
        <v>240.94242495178463</v>
      </c>
      <c r="J25" s="49">
        <f t="shared" si="4"/>
        <v>12.047121247589232</v>
      </c>
      <c r="K25" s="47">
        <f t="shared" si="5"/>
        <v>4806.801377788103</v>
      </c>
    </row>
    <row r="26" spans="1:11" ht="12">
      <c r="A26" s="42">
        <v>11</v>
      </c>
      <c r="B26" s="45">
        <v>2018</v>
      </c>
      <c r="C26" s="46">
        <f t="shared" si="6"/>
        <v>71.21555020734985</v>
      </c>
      <c r="D26" s="47">
        <f t="shared" si="0"/>
        <v>25993.675825682694</v>
      </c>
      <c r="E26" s="47">
        <f t="shared" si="7"/>
        <v>790491.6423385773</v>
      </c>
      <c r="F26" s="47">
        <v>95</v>
      </c>
      <c r="G26" s="47">
        <f t="shared" si="1"/>
        <v>750967.0602216485</v>
      </c>
      <c r="H26" s="47">
        <f t="shared" si="2"/>
        <v>85.72683335863567</v>
      </c>
      <c r="I26" s="48">
        <f t="shared" si="3"/>
        <v>263.46928340816316</v>
      </c>
      <c r="J26" s="49">
        <f t="shared" si="4"/>
        <v>13.17346417040816</v>
      </c>
      <c r="K26" s="47">
        <f t="shared" si="5"/>
        <v>5256.212203992855</v>
      </c>
    </row>
    <row r="27" spans="1:11" ht="12">
      <c r="A27" s="42">
        <v>12</v>
      </c>
      <c r="B27" s="45">
        <v>2019</v>
      </c>
      <c r="C27" s="46">
        <f t="shared" si="6"/>
        <v>72.99593896253359</v>
      </c>
      <c r="D27" s="47">
        <f t="shared" si="0"/>
        <v>26643.51772132476</v>
      </c>
      <c r="E27" s="47">
        <f t="shared" si="7"/>
        <v>858397.2904133603</v>
      </c>
      <c r="F27" s="47">
        <v>95</v>
      </c>
      <c r="G27" s="47">
        <f t="shared" si="1"/>
        <v>815477.4258926924</v>
      </c>
      <c r="H27" s="47">
        <f t="shared" si="2"/>
        <v>93.09103035304707</v>
      </c>
      <c r="I27" s="48">
        <f t="shared" si="3"/>
        <v>286.10210010019216</v>
      </c>
      <c r="J27" s="49">
        <f t="shared" si="4"/>
        <v>14.305105005009608</v>
      </c>
      <c r="K27" s="47">
        <f t="shared" si="5"/>
        <v>5707.736896998833</v>
      </c>
    </row>
    <row r="28" spans="1:11" ht="12">
      <c r="A28" s="42">
        <v>13</v>
      </c>
      <c r="B28" s="45">
        <v>2020</v>
      </c>
      <c r="C28" s="46">
        <f t="shared" si="6"/>
        <v>74.82083743659692</v>
      </c>
      <c r="D28" s="47">
        <f t="shared" si="0"/>
        <v>27309.605664357874</v>
      </c>
      <c r="E28" s="47">
        <f t="shared" si="7"/>
        <v>926622.3422201215</v>
      </c>
      <c r="F28" s="47">
        <v>95</v>
      </c>
      <c r="G28" s="47">
        <f t="shared" si="1"/>
        <v>880291.2251091154</v>
      </c>
      <c r="H28" s="47">
        <f t="shared" si="2"/>
        <v>100.489865880036</v>
      </c>
      <c r="I28" s="48">
        <f t="shared" si="3"/>
        <v>308.841373417282</v>
      </c>
      <c r="J28" s="49">
        <f t="shared" si="4"/>
        <v>15.442068670864101</v>
      </c>
      <c r="K28" s="47">
        <f t="shared" si="5"/>
        <v>6161.385399674776</v>
      </c>
    </row>
    <row r="29" spans="1:11" ht="12">
      <c r="A29" s="42">
        <v>14</v>
      </c>
      <c r="B29" s="45">
        <v>2021</v>
      </c>
      <c r="C29" s="46">
        <f t="shared" si="6"/>
        <v>76.69135837251183</v>
      </c>
      <c r="D29" s="47">
        <f t="shared" si="0"/>
        <v>27992.34580596682</v>
      </c>
      <c r="E29" s="47">
        <f t="shared" si="7"/>
        <v>995168.3001190752</v>
      </c>
      <c r="F29" s="47">
        <v>95</v>
      </c>
      <c r="G29" s="47">
        <f t="shared" si="1"/>
        <v>945409.8851131215</v>
      </c>
      <c r="H29" s="47">
        <f t="shared" si="2"/>
        <v>107.92350286679469</v>
      </c>
      <c r="I29" s="48">
        <f t="shared" si="3"/>
        <v>331.68760409308754</v>
      </c>
      <c r="J29" s="49">
        <f t="shared" si="4"/>
        <v>16.584380204654376</v>
      </c>
      <c r="K29" s="47">
        <f t="shared" si="5"/>
        <v>6617.167701657096</v>
      </c>
    </row>
    <row r="30" spans="1:11" ht="12">
      <c r="A30" s="42">
        <v>15</v>
      </c>
      <c r="B30" s="45">
        <v>2022</v>
      </c>
      <c r="C30" s="46">
        <f t="shared" si="6"/>
        <v>78.60864233182461</v>
      </c>
      <c r="D30" s="47">
        <f t="shared" si="0"/>
        <v>28692.154451115985</v>
      </c>
      <c r="E30" s="47">
        <f t="shared" si="7"/>
        <v>1064036.6735369978</v>
      </c>
      <c r="F30" s="47">
        <v>95</v>
      </c>
      <c r="G30" s="47">
        <f t="shared" si="1"/>
        <v>1010834.8398601478</v>
      </c>
      <c r="H30" s="47">
        <f t="shared" si="2"/>
        <v>115.39210500686619</v>
      </c>
      <c r="I30" s="48">
        <f t="shared" si="3"/>
        <v>354.6412952165342</v>
      </c>
      <c r="J30" s="49">
        <f t="shared" si="4"/>
        <v>17.732064760826713</v>
      </c>
      <c r="K30" s="47">
        <f t="shared" si="5"/>
        <v>7075.093839569858</v>
      </c>
    </row>
    <row r="31" spans="1:11" ht="12">
      <c r="A31" s="42">
        <v>16</v>
      </c>
      <c r="B31" s="45">
        <v>2023</v>
      </c>
      <c r="C31" s="46">
        <f t="shared" si="6"/>
        <v>80.57385839012022</v>
      </c>
      <c r="D31" s="47">
        <f t="shared" si="0"/>
        <v>29409.45831239388</v>
      </c>
      <c r="E31" s="47">
        <f t="shared" si="7"/>
        <v>1133228.9790004657</v>
      </c>
      <c r="F31" s="47">
        <v>95</v>
      </c>
      <c r="G31" s="47">
        <f t="shared" si="1"/>
        <v>1076567.5300504423</v>
      </c>
      <c r="H31" s="47">
        <f t="shared" si="2"/>
        <v>122.89583676374912</v>
      </c>
      <c r="I31" s="48">
        <f t="shared" si="3"/>
        <v>377.70295224289714</v>
      </c>
      <c r="J31" s="49">
        <f t="shared" si="4"/>
        <v>18.88514761214486</v>
      </c>
      <c r="K31" s="47">
        <f t="shared" si="5"/>
        <v>7535.173897245798</v>
      </c>
    </row>
    <row r="32" spans="1:11" ht="12">
      <c r="A32" s="42">
        <v>17</v>
      </c>
      <c r="B32" s="45">
        <v>2024</v>
      </c>
      <c r="C32" s="46">
        <f t="shared" si="6"/>
        <v>82.58820484987322</v>
      </c>
      <c r="D32" s="47">
        <f t="shared" si="0"/>
        <v>30144.694770203725</v>
      </c>
      <c r="E32" s="47">
        <f t="shared" si="7"/>
        <v>1202746.7401692509</v>
      </c>
      <c r="F32" s="47">
        <v>95</v>
      </c>
      <c r="G32" s="47">
        <f t="shared" si="1"/>
        <v>1142609.4031607884</v>
      </c>
      <c r="H32" s="47">
        <f t="shared" si="2"/>
        <v>130.4348633745192</v>
      </c>
      <c r="I32" s="48">
        <f t="shared" si="3"/>
        <v>400.87308300493095</v>
      </c>
      <c r="J32" s="49">
        <f t="shared" si="4"/>
        <v>20.04365415024655</v>
      </c>
      <c r="K32" s="47">
        <f t="shared" si="5"/>
        <v>7997.418005948372</v>
      </c>
    </row>
    <row r="33" spans="1:11" ht="12">
      <c r="A33" s="42">
        <v>18</v>
      </c>
      <c r="B33" s="45">
        <v>2025</v>
      </c>
      <c r="C33" s="46">
        <f t="shared" si="6"/>
        <v>84.65290997112004</v>
      </c>
      <c r="D33" s="47">
        <f t="shared" si="0"/>
        <v>30898.312139458812</v>
      </c>
      <c r="E33" s="47">
        <f t="shared" si="7"/>
        <v>1272591.4878698725</v>
      </c>
      <c r="F33" s="47">
        <v>95</v>
      </c>
      <c r="G33" s="47">
        <f t="shared" si="1"/>
        <v>1208961.913476379</v>
      </c>
      <c r="H33" s="47">
        <f t="shared" si="2"/>
        <v>138.0093508534679</v>
      </c>
      <c r="I33" s="48">
        <f t="shared" si="3"/>
        <v>424.1521977240527</v>
      </c>
      <c r="J33" s="49">
        <f t="shared" si="4"/>
        <v>21.207609886202636</v>
      </c>
      <c r="K33" s="47">
        <f t="shared" si="5"/>
        <v>8461.83634459485</v>
      </c>
    </row>
    <row r="34" spans="1:11" ht="12">
      <c r="A34" s="42">
        <v>19</v>
      </c>
      <c r="B34" s="45">
        <v>2026</v>
      </c>
      <c r="C34" s="46">
        <f t="shared" si="6"/>
        <v>86.76923272039804</v>
      </c>
      <c r="D34" s="47">
        <f t="shared" si="0"/>
        <v>31670.769942945284</v>
      </c>
      <c r="E34" s="47">
        <f t="shared" si="7"/>
        <v>1342764.7601293067</v>
      </c>
      <c r="F34" s="47">
        <v>95</v>
      </c>
      <c r="G34" s="47">
        <f t="shared" si="1"/>
        <v>1275626.5221228413</v>
      </c>
      <c r="H34" s="47">
        <f t="shared" si="2"/>
        <v>145.61946599575813</v>
      </c>
      <c r="I34" s="48">
        <f t="shared" si="3"/>
        <v>447.5408090215776</v>
      </c>
      <c r="J34" s="49">
        <f t="shared" si="4"/>
        <v>22.377040451078884</v>
      </c>
      <c r="K34" s="47">
        <f t="shared" si="5"/>
        <v>8928.439139980474</v>
      </c>
    </row>
    <row r="35" spans="1:11" ht="12">
      <c r="A35" s="42">
        <v>20</v>
      </c>
      <c r="B35" s="45">
        <v>2027</v>
      </c>
      <c r="C35" s="46">
        <f t="shared" si="6"/>
        <v>88.93846353840799</v>
      </c>
      <c r="D35" s="47">
        <f t="shared" si="0"/>
        <v>32462.539191518914</v>
      </c>
      <c r="E35" s="47">
        <f t="shared" si="7"/>
        <v>1413268.102208855</v>
      </c>
      <c r="F35" s="47">
        <v>95</v>
      </c>
      <c r="G35" s="47">
        <f t="shared" si="1"/>
        <v>1342604.6970984123</v>
      </c>
      <c r="H35" s="47">
        <f t="shared" si="2"/>
        <v>153.2653763810973</v>
      </c>
      <c r="I35" s="48">
        <f t="shared" si="3"/>
        <v>471.03943193000697</v>
      </c>
      <c r="J35" s="49">
        <f t="shared" si="4"/>
        <v>23.55197159650035</v>
      </c>
      <c r="K35" s="47">
        <f t="shared" si="5"/>
        <v>9397.236667003639</v>
      </c>
    </row>
    <row r="36" spans="4:11" ht="12">
      <c r="D36" s="56">
        <f>SUM(D15:D35)</f>
        <v>538526.3308522776</v>
      </c>
      <c r="F36" s="50"/>
      <c r="J36" s="52" t="s">
        <v>258</v>
      </c>
      <c r="K36" s="53">
        <f>SUM(K15:K35)</f>
        <v>95310.64115442627</v>
      </c>
    </row>
  </sheetData>
  <sheetProtection/>
  <printOptions/>
  <pageMargins left="0.75" right="0.75" top="1" bottom="1" header="0" footer="0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3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164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PIGARS'!E25</f>
        <v>49.26012</v>
      </c>
      <c r="D15" s="47">
        <f aca="true" t="shared" si="0" ref="D15:D35">+C15*365</f>
        <v>17979.9438</v>
      </c>
      <c r="E15" s="47">
        <f>2*$C$3*$C$4*D15*EXP(-1*$C$3*A15)</f>
        <v>58255.01791200001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50.491623</v>
      </c>
      <c r="D16" s="47">
        <f t="shared" si="0"/>
        <v>18429.442395</v>
      </c>
      <c r="E16" s="47">
        <f aca="true" t="shared" si="7" ref="E16:E35">2*$C$3*$C$4*D16*EXP(-1*$C$3*A16)+E15</f>
        <v>116784.04646457377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51.75391357499999</v>
      </c>
      <c r="D17" s="47">
        <f t="shared" si="0"/>
        <v>18890.178454874997</v>
      </c>
      <c r="E17" s="47">
        <f t="shared" si="7"/>
        <v>175588.3745051689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53.04776141437499</v>
      </c>
      <c r="D18" s="47">
        <f t="shared" si="0"/>
        <v>19362.43291624687</v>
      </c>
      <c r="E18" s="47">
        <f t="shared" si="7"/>
        <v>234669.29694350765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54.37395544973436</v>
      </c>
      <c r="D19" s="47">
        <f t="shared" si="0"/>
        <v>19846.49373915304</v>
      </c>
      <c r="E19" s="47">
        <f t="shared" si="7"/>
        <v>294028.1147801016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55.733304335977714</v>
      </c>
      <c r="D20" s="47">
        <f t="shared" si="0"/>
        <v>20342.656082631864</v>
      </c>
      <c r="E20" s="47">
        <f t="shared" si="7"/>
        <v>353666.13513490045</v>
      </c>
      <c r="F20" s="47">
        <v>95</v>
      </c>
      <c r="G20" s="47">
        <f t="shared" si="1"/>
        <v>335982.8283781555</v>
      </c>
      <c r="H20" s="47">
        <f t="shared" si="2"/>
        <v>38.354204152757475</v>
      </c>
      <c r="I20" s="48">
        <f t="shared" si="3"/>
        <v>117.87621550819206</v>
      </c>
      <c r="J20" s="49">
        <f t="shared" si="4"/>
        <v>5.893810775409603</v>
      </c>
      <c r="K20" s="47">
        <f t="shared" si="5"/>
        <v>2351.6304993884314</v>
      </c>
    </row>
    <row r="21" spans="1:11" ht="12">
      <c r="A21" s="42">
        <v>6</v>
      </c>
      <c r="B21" s="45">
        <v>2013</v>
      </c>
      <c r="C21" s="46">
        <f t="shared" si="6"/>
        <v>57.126636944377154</v>
      </c>
      <c r="D21" s="47">
        <f t="shared" si="0"/>
        <v>20851.22248469766</v>
      </c>
      <c r="E21" s="47">
        <f t="shared" si="7"/>
        <v>413584.67127607594</v>
      </c>
      <c r="F21" s="47">
        <v>95</v>
      </c>
      <c r="G21" s="47">
        <f t="shared" si="1"/>
        <v>392905.4377122721</v>
      </c>
      <c r="H21" s="47">
        <f t="shared" si="2"/>
        <v>44.85221891692604</v>
      </c>
      <c r="I21" s="48">
        <f t="shared" si="3"/>
        <v>137.84694376697354</v>
      </c>
      <c r="J21" s="49">
        <f t="shared" si="4"/>
        <v>6.892347188348677</v>
      </c>
      <c r="K21" s="47">
        <f t="shared" si="5"/>
        <v>2750.046528151122</v>
      </c>
    </row>
    <row r="22" spans="1:11" ht="12">
      <c r="A22" s="42">
        <v>7</v>
      </c>
      <c r="B22" s="45">
        <v>2014</v>
      </c>
      <c r="C22" s="46">
        <f t="shared" si="6"/>
        <v>58.55480286798658</v>
      </c>
      <c r="D22" s="47">
        <f t="shared" si="0"/>
        <v>21372.5030468151</v>
      </c>
      <c r="E22" s="47">
        <f t="shared" si="7"/>
        <v>473785.04264894064</v>
      </c>
      <c r="F22" s="47">
        <v>95</v>
      </c>
      <c r="G22" s="47">
        <f t="shared" si="1"/>
        <v>450095.7905164936</v>
      </c>
      <c r="H22" s="47">
        <f t="shared" si="2"/>
        <v>51.38079800416594</v>
      </c>
      <c r="I22" s="48">
        <f t="shared" si="3"/>
        <v>157.9116071448066</v>
      </c>
      <c r="J22" s="49">
        <f t="shared" si="4"/>
        <v>7.8955803572403305</v>
      </c>
      <c r="K22" s="47">
        <f t="shared" si="5"/>
        <v>3150.3365625388915</v>
      </c>
    </row>
    <row r="23" spans="1:11" ht="12">
      <c r="A23" s="42">
        <v>8</v>
      </c>
      <c r="B23" s="45">
        <v>2015</v>
      </c>
      <c r="C23" s="46">
        <f t="shared" si="6"/>
        <v>60.01867293968624</v>
      </c>
      <c r="D23" s="47">
        <f t="shared" si="0"/>
        <v>21906.81562298548</v>
      </c>
      <c r="E23" s="47">
        <f t="shared" si="7"/>
        <v>534268.574905003</v>
      </c>
      <c r="F23" s="47">
        <v>95</v>
      </c>
      <c r="G23" s="47">
        <f t="shared" si="1"/>
        <v>507555.14615975285</v>
      </c>
      <c r="H23" s="47">
        <f t="shared" si="2"/>
        <v>57.94008517805398</v>
      </c>
      <c r="I23" s="48">
        <f t="shared" si="3"/>
        <v>178.07064747868768</v>
      </c>
      <c r="J23" s="49">
        <f t="shared" si="4"/>
        <v>8.903532373934384</v>
      </c>
      <c r="K23" s="47">
        <f t="shared" si="5"/>
        <v>3552.509417199819</v>
      </c>
    </row>
    <row r="24" spans="1:11" ht="12">
      <c r="A24" s="42">
        <v>9</v>
      </c>
      <c r="B24" s="45">
        <v>2016</v>
      </c>
      <c r="C24" s="46">
        <f t="shared" si="6"/>
        <v>61.519139763178394</v>
      </c>
      <c r="D24" s="47">
        <f t="shared" si="0"/>
        <v>22454.486013560116</v>
      </c>
      <c r="E24" s="47">
        <f t="shared" si="7"/>
        <v>595036.599931159</v>
      </c>
      <c r="F24" s="47">
        <v>95</v>
      </c>
      <c r="G24" s="47">
        <f t="shared" si="1"/>
        <v>565284.7699346012</v>
      </c>
      <c r="H24" s="47">
        <f t="shared" si="2"/>
        <v>64.53022487837913</v>
      </c>
      <c r="I24" s="48">
        <f t="shared" si="3"/>
        <v>198.32450868385547</v>
      </c>
      <c r="J24" s="49">
        <f t="shared" si="4"/>
        <v>9.916225434192775</v>
      </c>
      <c r="K24" s="47">
        <f t="shared" si="5"/>
        <v>3956.5739482429167</v>
      </c>
    </row>
    <row r="25" spans="1:11" ht="12">
      <c r="A25" s="42">
        <v>10</v>
      </c>
      <c r="B25" s="45">
        <v>2017</v>
      </c>
      <c r="C25" s="46">
        <f t="shared" si="6"/>
        <v>63.05711825725785</v>
      </c>
      <c r="D25" s="47">
        <f t="shared" si="0"/>
        <v>23015.848163899114</v>
      </c>
      <c r="E25" s="47">
        <f t="shared" si="7"/>
        <v>656090.4558790217</v>
      </c>
      <c r="F25" s="47">
        <v>95</v>
      </c>
      <c r="G25" s="47">
        <f t="shared" si="1"/>
        <v>623285.9330850706</v>
      </c>
      <c r="H25" s="47">
        <f t="shared" si="2"/>
        <v>71.15136222432312</v>
      </c>
      <c r="I25" s="48">
        <f t="shared" si="3"/>
        <v>218.67363676356615</v>
      </c>
      <c r="J25" s="49">
        <f t="shared" si="4"/>
        <v>10.933681838178309</v>
      </c>
      <c r="K25" s="47">
        <f t="shared" si="5"/>
        <v>4362.5390534331445</v>
      </c>
    </row>
    <row r="26" spans="1:11" ht="12">
      <c r="A26" s="42">
        <v>11</v>
      </c>
      <c r="B26" s="45">
        <v>2018</v>
      </c>
      <c r="C26" s="46">
        <f t="shared" si="6"/>
        <v>64.63354621368929</v>
      </c>
      <c r="D26" s="47">
        <f t="shared" si="0"/>
        <v>23591.24436799659</v>
      </c>
      <c r="E26" s="47">
        <f t="shared" si="7"/>
        <v>717431.4871943872</v>
      </c>
      <c r="F26" s="47">
        <v>95</v>
      </c>
      <c r="G26" s="47">
        <f t="shared" si="1"/>
        <v>681559.9128346678</v>
      </c>
      <c r="H26" s="47">
        <f t="shared" si="2"/>
        <v>77.80364301765614</v>
      </c>
      <c r="I26" s="48">
        <f t="shared" si="3"/>
        <v>239.11847981891484</v>
      </c>
      <c r="J26" s="49">
        <f t="shared" si="4"/>
        <v>11.955923990945742</v>
      </c>
      <c r="K26" s="47">
        <f t="shared" si="5"/>
        <v>4770.413672387351</v>
      </c>
    </row>
    <row r="27" spans="1:11" ht="12">
      <c r="A27" s="42">
        <v>12</v>
      </c>
      <c r="B27" s="45">
        <v>2019</v>
      </c>
      <c r="C27" s="46">
        <f t="shared" si="6"/>
        <v>66.24938486903152</v>
      </c>
      <c r="D27" s="47">
        <f t="shared" si="0"/>
        <v>24181.025477196505</v>
      </c>
      <c r="E27" s="47">
        <f t="shared" si="7"/>
        <v>779061.0446468415</v>
      </c>
      <c r="F27" s="47">
        <v>95</v>
      </c>
      <c r="G27" s="47">
        <f t="shared" si="1"/>
        <v>740107.9924144994</v>
      </c>
      <c r="H27" s="47">
        <f t="shared" si="2"/>
        <v>84.48721374594741</v>
      </c>
      <c r="I27" s="48">
        <f t="shared" si="3"/>
        <v>259.65948805870295</v>
      </c>
      <c r="J27" s="49">
        <f t="shared" si="4"/>
        <v>12.982974402935149</v>
      </c>
      <c r="K27" s="47">
        <f t="shared" si="5"/>
        <v>5180.206786771124</v>
      </c>
    </row>
    <row r="28" spans="1:11" ht="12">
      <c r="A28" s="42">
        <v>13</v>
      </c>
      <c r="B28" s="45">
        <v>2020</v>
      </c>
      <c r="C28" s="46">
        <f t="shared" si="6"/>
        <v>67.9056194907573</v>
      </c>
      <c r="D28" s="47">
        <f t="shared" si="0"/>
        <v>24785.551114126414</v>
      </c>
      <c r="E28" s="47">
        <f t="shared" si="7"/>
        <v>840980.485359504</v>
      </c>
      <c r="F28" s="47">
        <v>95</v>
      </c>
      <c r="G28" s="47">
        <f t="shared" si="1"/>
        <v>798931.4610915289</v>
      </c>
      <c r="H28" s="47">
        <f t="shared" si="2"/>
        <v>91.20222158579097</v>
      </c>
      <c r="I28" s="48">
        <f t="shared" si="3"/>
        <v>280.2971138093519</v>
      </c>
      <c r="J28" s="49">
        <f t="shared" si="4"/>
        <v>14.014855690467597</v>
      </c>
      <c r="K28" s="47">
        <f t="shared" si="5"/>
        <v>5591.927420496571</v>
      </c>
    </row>
    <row r="29" spans="1:11" ht="12">
      <c r="A29" s="42">
        <v>14</v>
      </c>
      <c r="B29" s="45">
        <v>2021</v>
      </c>
      <c r="C29" s="46">
        <f t="shared" si="6"/>
        <v>69.60325997802623</v>
      </c>
      <c r="D29" s="47">
        <f t="shared" si="0"/>
        <v>25405.189891979575</v>
      </c>
      <c r="E29" s="47">
        <f t="shared" si="7"/>
        <v>903191.1728389134</v>
      </c>
      <c r="F29" s="47">
        <v>95</v>
      </c>
      <c r="G29" s="47">
        <f t="shared" si="1"/>
        <v>858031.6141969678</v>
      </c>
      <c r="H29" s="47">
        <f t="shared" si="2"/>
        <v>97.94881440604655</v>
      </c>
      <c r="I29" s="48">
        <f t="shared" si="3"/>
        <v>301.03181152486417</v>
      </c>
      <c r="J29" s="49">
        <f t="shared" si="4"/>
        <v>15.051590576243209</v>
      </c>
      <c r="K29" s="47">
        <f t="shared" si="5"/>
        <v>6005.58463992104</v>
      </c>
    </row>
    <row r="30" spans="1:11" ht="12">
      <c r="A30" s="42">
        <v>15</v>
      </c>
      <c r="B30" s="45">
        <v>2022</v>
      </c>
      <c r="C30" s="46">
        <f t="shared" si="6"/>
        <v>71.34334147747688</v>
      </c>
      <c r="D30" s="47">
        <f t="shared" si="0"/>
        <v>26040.319639279063</v>
      </c>
      <c r="E30" s="47">
        <f t="shared" si="7"/>
        <v>965694.477005052</v>
      </c>
      <c r="F30" s="47">
        <v>95</v>
      </c>
      <c r="G30" s="47">
        <f t="shared" si="1"/>
        <v>917409.7531547995</v>
      </c>
      <c r="H30" s="47">
        <f t="shared" si="2"/>
        <v>104.72714077109583</v>
      </c>
      <c r="I30" s="48">
        <f t="shared" si="3"/>
        <v>321.8640377968298</v>
      </c>
      <c r="J30" s="49">
        <f t="shared" si="4"/>
        <v>16.09320188984149</v>
      </c>
      <c r="K30" s="47">
        <f t="shared" si="5"/>
        <v>6421.187554046754</v>
      </c>
    </row>
    <row r="31" spans="1:11" ht="12">
      <c r="A31" s="42">
        <v>16</v>
      </c>
      <c r="B31" s="45">
        <v>2023</v>
      </c>
      <c r="C31" s="46">
        <f t="shared" si="6"/>
        <v>73.1269250144138</v>
      </c>
      <c r="D31" s="47">
        <f t="shared" si="0"/>
        <v>26691.327630261036</v>
      </c>
      <c r="E31" s="47">
        <f t="shared" si="7"/>
        <v>1028491.7742215132</v>
      </c>
      <c r="F31" s="47">
        <v>95</v>
      </c>
      <c r="G31" s="47">
        <f t="shared" si="1"/>
        <v>977067.1855104375</v>
      </c>
      <c r="H31" s="47">
        <f t="shared" si="2"/>
        <v>111.53734994411387</v>
      </c>
      <c r="I31" s="48">
        <f t="shared" si="3"/>
        <v>342.79425136448185</v>
      </c>
      <c r="J31" s="49">
        <f t="shared" si="4"/>
        <v>17.139712568224095</v>
      </c>
      <c r="K31" s="47">
        <f t="shared" si="5"/>
        <v>6838.745314721414</v>
      </c>
    </row>
    <row r="32" spans="1:11" ht="12">
      <c r="A32" s="42">
        <v>17</v>
      </c>
      <c r="B32" s="45">
        <v>2024</v>
      </c>
      <c r="C32" s="46">
        <f t="shared" si="6"/>
        <v>74.95509813977414</v>
      </c>
      <c r="D32" s="47">
        <f t="shared" si="0"/>
        <v>27358.61082101756</v>
      </c>
      <c r="E32" s="47">
        <f t="shared" si="7"/>
        <v>1091584.447325809</v>
      </c>
      <c r="F32" s="47">
        <v>95</v>
      </c>
      <c r="G32" s="47">
        <f t="shared" si="1"/>
        <v>1037005.2249595184</v>
      </c>
      <c r="H32" s="47">
        <f t="shared" si="2"/>
        <v>118.37959189035598</v>
      </c>
      <c r="I32" s="48">
        <f t="shared" si="3"/>
        <v>363.8229131247974</v>
      </c>
      <c r="J32" s="49">
        <f t="shared" si="4"/>
        <v>18.191145656239872</v>
      </c>
      <c r="K32" s="47">
        <f t="shared" si="5"/>
        <v>7258.267116839708</v>
      </c>
    </row>
    <row r="33" spans="1:11" ht="12">
      <c r="A33" s="42">
        <v>18</v>
      </c>
      <c r="B33" s="45">
        <v>2025</v>
      </c>
      <c r="C33" s="46">
        <f t="shared" si="6"/>
        <v>76.82897559326848</v>
      </c>
      <c r="D33" s="47">
        <f t="shared" si="0"/>
        <v>28042.576091542996</v>
      </c>
      <c r="E33" s="47">
        <f t="shared" si="7"/>
        <v>1154973.8856598218</v>
      </c>
      <c r="F33" s="47">
        <v>95</v>
      </c>
      <c r="G33" s="47">
        <f t="shared" si="1"/>
        <v>1097225.1913768307</v>
      </c>
      <c r="H33" s="47">
        <f t="shared" si="2"/>
        <v>125.25401728046012</v>
      </c>
      <c r="I33" s="48">
        <f t="shared" si="3"/>
        <v>384.9504861426472</v>
      </c>
      <c r="J33" s="49">
        <f t="shared" si="4"/>
        <v>19.247524307132363</v>
      </c>
      <c r="K33" s="47">
        <f t="shared" si="5"/>
        <v>7679.762198545812</v>
      </c>
    </row>
    <row r="34" spans="1:11" ht="12">
      <c r="A34" s="42">
        <v>19</v>
      </c>
      <c r="B34" s="45">
        <v>2026</v>
      </c>
      <c r="C34" s="46">
        <f t="shared" si="6"/>
        <v>78.74969998310019</v>
      </c>
      <c r="D34" s="47">
        <f t="shared" si="0"/>
        <v>28743.640493831568</v>
      </c>
      <c r="E34" s="47">
        <f t="shared" si="7"/>
        <v>1218661.485100398</v>
      </c>
      <c r="F34" s="47">
        <v>95</v>
      </c>
      <c r="G34" s="47">
        <f t="shared" si="1"/>
        <v>1157728.4108453782</v>
      </c>
      <c r="H34" s="47">
        <f t="shared" si="2"/>
        <v>132.16077749376464</v>
      </c>
      <c r="I34" s="48">
        <f t="shared" si="3"/>
        <v>406.17743566099244</v>
      </c>
      <c r="J34" s="49">
        <f t="shared" si="4"/>
        <v>20.308871783049625</v>
      </c>
      <c r="K34" s="47">
        <f t="shared" si="5"/>
        <v>8103.2398414368</v>
      </c>
    </row>
    <row r="35" spans="1:11" ht="12">
      <c r="A35" s="42">
        <v>20</v>
      </c>
      <c r="B35" s="45">
        <v>2027</v>
      </c>
      <c r="C35" s="46">
        <f t="shared" si="6"/>
        <v>80.71844248267769</v>
      </c>
      <c r="D35" s="47">
        <f t="shared" si="0"/>
        <v>29462.231506177355</v>
      </c>
      <c r="E35" s="47">
        <f t="shared" si="7"/>
        <v>1282648.6480900864</v>
      </c>
      <c r="F35" s="47">
        <v>95</v>
      </c>
      <c r="G35" s="47">
        <f t="shared" si="1"/>
        <v>1218516.2156855823</v>
      </c>
      <c r="H35" s="47">
        <f t="shared" si="2"/>
        <v>139.1000246216418</v>
      </c>
      <c r="I35" s="48">
        <f t="shared" si="3"/>
        <v>427.50422911112963</v>
      </c>
      <c r="J35" s="49">
        <f t="shared" si="4"/>
        <v>21.37521145555648</v>
      </c>
      <c r="K35" s="47">
        <f t="shared" si="5"/>
        <v>8528.709370767036</v>
      </c>
    </row>
    <row r="36" spans="4:11" ht="12">
      <c r="D36" s="56">
        <f>SUM(D15:D35)</f>
        <v>488753.73975327285</v>
      </c>
      <c r="F36" s="50"/>
      <c r="J36" s="52" t="s">
        <v>258</v>
      </c>
      <c r="K36" s="53">
        <f>SUM(K15:K35)</f>
        <v>86501.67992488793</v>
      </c>
    </row>
  </sheetData>
  <sheetProtection/>
  <printOptions/>
  <pageMargins left="0.75" right="0.75" top="1" bottom="1" header="0" footer="0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3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147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PIGARS'!E26</f>
        <v>48.71620000000001</v>
      </c>
      <c r="D15" s="47">
        <f aca="true" t="shared" si="0" ref="D15:D35">+C15*365</f>
        <v>17781.413000000004</v>
      </c>
      <c r="E15" s="47">
        <f>2*$C$3*$C$4*D15*EXP(-1*$C$3*A15)</f>
        <v>57611.77812000002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49.934105</v>
      </c>
      <c r="D16" s="47">
        <f t="shared" si="0"/>
        <v>18225.948325</v>
      </c>
      <c r="E16" s="47">
        <f aca="true" t="shared" si="7" ref="E16:E35">2*$C$3*$C$4*D16*EXP(-1*$C$3*A16)+E15</f>
        <v>115494.54131206885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51.182457625</v>
      </c>
      <c r="D17" s="47">
        <f t="shared" si="0"/>
        <v>18681.597033125</v>
      </c>
      <c r="E17" s="47">
        <f t="shared" si="7"/>
        <v>173649.56419246868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52.46201906562499</v>
      </c>
      <c r="D18" s="47">
        <f t="shared" si="0"/>
        <v>19148.636958953124</v>
      </c>
      <c r="E18" s="47">
        <f t="shared" si="7"/>
        <v>232078.1273727979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53.77356954226561</v>
      </c>
      <c r="D19" s="47">
        <f t="shared" si="0"/>
        <v>19627.35288292695</v>
      </c>
      <c r="E19" s="47">
        <f t="shared" si="7"/>
        <v>290781.51748819096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55.11790878082225</v>
      </c>
      <c r="D20" s="47">
        <f t="shared" si="0"/>
        <v>20118.03670500012</v>
      </c>
      <c r="E20" s="47">
        <f t="shared" si="7"/>
        <v>349761.0272256511</v>
      </c>
      <c r="F20" s="47">
        <v>95</v>
      </c>
      <c r="G20" s="47">
        <f t="shared" si="1"/>
        <v>332272.97586436855</v>
      </c>
      <c r="H20" s="47">
        <f t="shared" si="2"/>
        <v>37.93070500734801</v>
      </c>
      <c r="I20" s="48">
        <f t="shared" si="3"/>
        <v>116.57465085225506</v>
      </c>
      <c r="J20" s="49">
        <f t="shared" si="4"/>
        <v>5.828732542612753</v>
      </c>
      <c r="K20" s="47">
        <f t="shared" si="5"/>
        <v>2325.6642845024885</v>
      </c>
    </row>
    <row r="21" spans="1:11" ht="12">
      <c r="A21" s="42">
        <v>6</v>
      </c>
      <c r="B21" s="45">
        <v>2013</v>
      </c>
      <c r="C21" s="46">
        <f t="shared" si="6"/>
        <v>56.495856500342796</v>
      </c>
      <c r="D21" s="47">
        <f t="shared" si="0"/>
        <v>20620.98762262512</v>
      </c>
      <c r="E21" s="47">
        <f t="shared" si="7"/>
        <v>409017.95535251586</v>
      </c>
      <c r="F21" s="47">
        <v>95</v>
      </c>
      <c r="G21" s="47">
        <f t="shared" si="1"/>
        <v>388567.05758489005</v>
      </c>
      <c r="H21" s="47">
        <f t="shared" si="2"/>
        <v>44.35697004393722</v>
      </c>
      <c r="I21" s="48">
        <f t="shared" si="3"/>
        <v>136.32486648308281</v>
      </c>
      <c r="J21" s="49">
        <f t="shared" si="4"/>
        <v>6.816243324154141</v>
      </c>
      <c r="K21" s="47">
        <f t="shared" si="5"/>
        <v>2719.681086337502</v>
      </c>
    </row>
    <row r="22" spans="1:11" ht="12">
      <c r="A22" s="42">
        <v>7</v>
      </c>
      <c r="B22" s="45">
        <v>2014</v>
      </c>
      <c r="C22" s="46">
        <f t="shared" si="6"/>
        <v>57.90825291285136</v>
      </c>
      <c r="D22" s="47">
        <f t="shared" si="0"/>
        <v>21136.512313190746</v>
      </c>
      <c r="E22" s="47">
        <f t="shared" si="7"/>
        <v>468553.60674505716</v>
      </c>
      <c r="F22" s="47">
        <v>95</v>
      </c>
      <c r="G22" s="47">
        <f t="shared" si="1"/>
        <v>445125.92640780425</v>
      </c>
      <c r="H22" s="47">
        <f t="shared" si="2"/>
        <v>50.81346191869911</v>
      </c>
      <c r="I22" s="48">
        <f t="shared" si="3"/>
        <v>156.16798002091403</v>
      </c>
      <c r="J22" s="49">
        <f t="shared" si="4"/>
        <v>7.808399001045702</v>
      </c>
      <c r="K22" s="47">
        <f t="shared" si="5"/>
        <v>3115.551201417235</v>
      </c>
    </row>
    <row r="23" spans="1:11" ht="12">
      <c r="A23" s="42">
        <v>8</v>
      </c>
      <c r="B23" s="45">
        <v>2015</v>
      </c>
      <c r="C23" s="46">
        <f t="shared" si="6"/>
        <v>59.355959235672636</v>
      </c>
      <c r="D23" s="47">
        <f t="shared" si="0"/>
        <v>21664.92512102051</v>
      </c>
      <c r="E23" s="47">
        <f t="shared" si="7"/>
        <v>528369.2924172152</v>
      </c>
      <c r="F23" s="47">
        <v>95</v>
      </c>
      <c r="G23" s="47">
        <f t="shared" si="1"/>
        <v>501950.8277963544</v>
      </c>
      <c r="H23" s="47">
        <f t="shared" si="2"/>
        <v>57.30032280780301</v>
      </c>
      <c r="I23" s="48">
        <f t="shared" si="3"/>
        <v>176.10442842407295</v>
      </c>
      <c r="J23" s="49">
        <f t="shared" si="4"/>
        <v>8.805221421203647</v>
      </c>
      <c r="K23" s="47">
        <f t="shared" si="5"/>
        <v>3513.2833470602554</v>
      </c>
    </row>
    <row r="24" spans="1:11" ht="12">
      <c r="A24" s="42">
        <v>9</v>
      </c>
      <c r="B24" s="45">
        <v>2016</v>
      </c>
      <c r="C24" s="46">
        <f t="shared" si="6"/>
        <v>60.839858216564444</v>
      </c>
      <c r="D24" s="47">
        <f t="shared" si="0"/>
        <v>22206.548249046024</v>
      </c>
      <c r="E24" s="47">
        <f t="shared" si="7"/>
        <v>588466.3295494679</v>
      </c>
      <c r="F24" s="47">
        <v>95</v>
      </c>
      <c r="G24" s="47">
        <f t="shared" si="1"/>
        <v>559043.0130719945</v>
      </c>
      <c r="H24" s="47">
        <f t="shared" si="2"/>
        <v>63.81769555616376</v>
      </c>
      <c r="I24" s="48">
        <f t="shared" si="3"/>
        <v>196.13465070617855</v>
      </c>
      <c r="J24" s="49">
        <f t="shared" si="4"/>
        <v>9.806732535308928</v>
      </c>
      <c r="K24" s="47">
        <f t="shared" si="5"/>
        <v>3912.886281588262</v>
      </c>
    </row>
    <row r="25" spans="1:11" ht="12">
      <c r="A25" s="42">
        <v>10</v>
      </c>
      <c r="B25" s="45">
        <v>2017</v>
      </c>
      <c r="C25" s="46">
        <f t="shared" si="6"/>
        <v>62.36085467197855</v>
      </c>
      <c r="D25" s="47">
        <f t="shared" si="0"/>
        <v>22761.71195527217</v>
      </c>
      <c r="E25" s="47">
        <f t="shared" si="7"/>
        <v>648846.0415178363</v>
      </c>
      <c r="F25" s="47">
        <v>95</v>
      </c>
      <c r="G25" s="47">
        <f t="shared" si="1"/>
        <v>616403.7394419444</v>
      </c>
      <c r="H25" s="47">
        <f t="shared" si="2"/>
        <v>70.36572368058727</v>
      </c>
      <c r="I25" s="48">
        <f t="shared" si="3"/>
        <v>216.25908794581173</v>
      </c>
      <c r="J25" s="49">
        <f t="shared" si="4"/>
        <v>10.812954397290587</v>
      </c>
      <c r="K25" s="47">
        <f t="shared" si="5"/>
        <v>4314.368804518944</v>
      </c>
    </row>
    <row r="26" spans="1:11" ht="12">
      <c r="A26" s="42">
        <v>11</v>
      </c>
      <c r="B26" s="45">
        <v>2018</v>
      </c>
      <c r="C26" s="46">
        <f t="shared" si="6"/>
        <v>63.91987603877801</v>
      </c>
      <c r="D26" s="47">
        <f t="shared" si="0"/>
        <v>23330.75475415397</v>
      </c>
      <c r="E26" s="47">
        <f t="shared" si="7"/>
        <v>709509.757923026</v>
      </c>
      <c r="F26" s="47">
        <v>95</v>
      </c>
      <c r="G26" s="47">
        <f t="shared" si="1"/>
        <v>674034.2700268747</v>
      </c>
      <c r="H26" s="47">
        <f t="shared" si="2"/>
        <v>76.9445513729309</v>
      </c>
      <c r="I26" s="48">
        <f t="shared" si="3"/>
        <v>236.4781832962287</v>
      </c>
      <c r="J26" s="49">
        <f t="shared" si="4"/>
        <v>11.823909164811436</v>
      </c>
      <c r="K26" s="47">
        <f t="shared" si="5"/>
        <v>4717.739756759763</v>
      </c>
    </row>
    <row r="27" spans="1:11" ht="12">
      <c r="A27" s="42">
        <v>12</v>
      </c>
      <c r="B27" s="45">
        <v>2019</v>
      </c>
      <c r="C27" s="46">
        <f t="shared" si="6"/>
        <v>65.51787293974745</v>
      </c>
      <c r="D27" s="47">
        <f t="shared" si="0"/>
        <v>23914.02362300782</v>
      </c>
      <c r="E27" s="47">
        <f t="shared" si="7"/>
        <v>770458.8146197058</v>
      </c>
      <c r="F27" s="47">
        <v>95</v>
      </c>
      <c r="G27" s="47">
        <f t="shared" si="1"/>
        <v>731935.8738887204</v>
      </c>
      <c r="H27" s="47">
        <f t="shared" si="2"/>
        <v>83.55432350327858</v>
      </c>
      <c r="I27" s="48">
        <f t="shared" si="3"/>
        <v>256.79238199511866</v>
      </c>
      <c r="J27" s="49">
        <f t="shared" si="4"/>
        <v>12.839619099755934</v>
      </c>
      <c r="K27" s="47">
        <f t="shared" si="5"/>
        <v>5123.0080208026175</v>
      </c>
    </row>
    <row r="28" spans="1:11" ht="12">
      <c r="A28" s="42">
        <v>13</v>
      </c>
      <c r="B28" s="45">
        <v>2020</v>
      </c>
      <c r="C28" s="46">
        <f t="shared" si="6"/>
        <v>67.15581976324113</v>
      </c>
      <c r="D28" s="47">
        <f t="shared" si="0"/>
        <v>24511.87421358301</v>
      </c>
      <c r="E28" s="47">
        <f t="shared" si="7"/>
        <v>831694.5537459241</v>
      </c>
      <c r="F28" s="47">
        <v>95</v>
      </c>
      <c r="G28" s="47">
        <f t="shared" si="1"/>
        <v>790109.8260586279</v>
      </c>
      <c r="H28" s="47">
        <f t="shared" si="2"/>
        <v>90.19518562313104</v>
      </c>
      <c r="I28" s="48">
        <f t="shared" si="3"/>
        <v>277.202131374409</v>
      </c>
      <c r="J28" s="49">
        <f t="shared" si="4"/>
        <v>13.860106568720452</v>
      </c>
      <c r="K28" s="47">
        <f t="shared" si="5"/>
        <v>5530.18252091946</v>
      </c>
    </row>
    <row r="29" spans="1:11" ht="12">
      <c r="A29" s="42">
        <v>14</v>
      </c>
      <c r="B29" s="45">
        <v>2021</v>
      </c>
      <c r="C29" s="46">
        <f t="shared" si="6"/>
        <v>68.83471525732215</v>
      </c>
      <c r="D29" s="47">
        <f t="shared" si="0"/>
        <v>25124.671068922584</v>
      </c>
      <c r="E29" s="47">
        <f t="shared" si="7"/>
        <v>893218.3237526639</v>
      </c>
      <c r="F29" s="47">
        <v>95</v>
      </c>
      <c r="G29" s="47">
        <f t="shared" si="1"/>
        <v>848557.4075650307</v>
      </c>
      <c r="H29" s="47">
        <f t="shared" si="2"/>
        <v>96.86728396861082</v>
      </c>
      <c r="I29" s="48">
        <f t="shared" si="3"/>
        <v>297.70788087011533</v>
      </c>
      <c r="J29" s="49">
        <f t="shared" si="4"/>
        <v>14.885394043505768</v>
      </c>
      <c r="K29" s="47">
        <f t="shared" si="5"/>
        <v>5939.272223358801</v>
      </c>
    </row>
    <row r="30" spans="1:11" ht="12">
      <c r="A30" s="42">
        <v>15</v>
      </c>
      <c r="B30" s="45">
        <v>2022</v>
      </c>
      <c r="C30" s="46">
        <f t="shared" si="6"/>
        <v>70.5555831387552</v>
      </c>
      <c r="D30" s="47">
        <f t="shared" si="0"/>
        <v>25752.787845645646</v>
      </c>
      <c r="E30" s="47">
        <f t="shared" si="7"/>
        <v>955031.4794335361</v>
      </c>
      <c r="F30" s="47">
        <v>95</v>
      </c>
      <c r="G30" s="47">
        <f t="shared" si="1"/>
        <v>907279.9054618593</v>
      </c>
      <c r="H30" s="47">
        <f t="shared" si="2"/>
        <v>103.57076546368256</v>
      </c>
      <c r="I30" s="48">
        <f t="shared" si="3"/>
        <v>318.31008203223865</v>
      </c>
      <c r="J30" s="49">
        <f t="shared" si="4"/>
        <v>15.915504101611933</v>
      </c>
      <c r="K30" s="47">
        <f t="shared" si="5"/>
        <v>6350.286136543161</v>
      </c>
    </row>
    <row r="31" spans="1:11" ht="12">
      <c r="A31" s="42">
        <v>16</v>
      </c>
      <c r="B31" s="45">
        <v>2023</v>
      </c>
      <c r="C31" s="46">
        <f t="shared" si="6"/>
        <v>72.31947271722407</v>
      </c>
      <c r="D31" s="47">
        <f t="shared" si="0"/>
        <v>26396.607541786787</v>
      </c>
      <c r="E31" s="47">
        <f t="shared" si="7"/>
        <v>1017135.3819546133</v>
      </c>
      <c r="F31" s="47">
        <v>95</v>
      </c>
      <c r="G31" s="47">
        <f t="shared" si="1"/>
        <v>966278.6128568826</v>
      </c>
      <c r="H31" s="47">
        <f t="shared" si="2"/>
        <v>110.30577772338843</v>
      </c>
      <c r="I31" s="48">
        <f t="shared" si="3"/>
        <v>339.00918853470864</v>
      </c>
      <c r="J31" s="49">
        <f t="shared" si="4"/>
        <v>16.95045942673543</v>
      </c>
      <c r="K31" s="47">
        <f t="shared" si="5"/>
        <v>6763.233311267437</v>
      </c>
    </row>
    <row r="32" spans="1:11" ht="12">
      <c r="A32" s="42">
        <v>17</v>
      </c>
      <c r="B32" s="45">
        <v>2024</v>
      </c>
      <c r="C32" s="46">
        <f t="shared" si="6"/>
        <v>74.12745953515467</v>
      </c>
      <c r="D32" s="47">
        <f t="shared" si="0"/>
        <v>27056.522730331453</v>
      </c>
      <c r="E32" s="47">
        <f t="shared" si="7"/>
        <v>1079531.3988844035</v>
      </c>
      <c r="F32" s="47">
        <v>95</v>
      </c>
      <c r="G32" s="47">
        <f t="shared" si="1"/>
        <v>1025554.8289401834</v>
      </c>
      <c r="H32" s="47">
        <f t="shared" si="2"/>
        <v>117.07246905709856</v>
      </c>
      <c r="I32" s="48">
        <f t="shared" si="3"/>
        <v>359.8056561853739</v>
      </c>
      <c r="J32" s="49">
        <f t="shared" si="4"/>
        <v>17.990282809268695</v>
      </c>
      <c r="K32" s="47">
        <f t="shared" si="5"/>
        <v>7178.122840898209</v>
      </c>
    </row>
    <row r="33" spans="1:11" ht="12">
      <c r="A33" s="42">
        <v>18</v>
      </c>
      <c r="B33" s="45">
        <v>2025</v>
      </c>
      <c r="C33" s="46">
        <f t="shared" si="6"/>
        <v>75.98064602353354</v>
      </c>
      <c r="D33" s="47">
        <f t="shared" si="0"/>
        <v>27732.93579858974</v>
      </c>
      <c r="E33" s="47">
        <f t="shared" si="7"/>
        <v>1142220.9042239648</v>
      </c>
      <c r="F33" s="47">
        <v>95</v>
      </c>
      <c r="G33" s="47">
        <f t="shared" si="1"/>
        <v>1085109.8590127665</v>
      </c>
      <c r="H33" s="47">
        <f t="shared" si="2"/>
        <v>123.870988471777</v>
      </c>
      <c r="I33" s="48">
        <f t="shared" si="3"/>
        <v>380.69994293603895</v>
      </c>
      <c r="J33" s="49">
        <f t="shared" si="4"/>
        <v>19.03499714680195</v>
      </c>
      <c r="K33" s="47">
        <f t="shared" si="5"/>
        <v>7594.963861573977</v>
      </c>
    </row>
    <row r="34" spans="1:11" ht="12">
      <c r="A34" s="42">
        <v>19</v>
      </c>
      <c r="B34" s="45">
        <v>2026</v>
      </c>
      <c r="C34" s="46">
        <f t="shared" si="6"/>
        <v>77.88016217412186</v>
      </c>
      <c r="D34" s="47">
        <f t="shared" si="0"/>
        <v>28426.25919355448</v>
      </c>
      <c r="E34" s="47">
        <f t="shared" si="7"/>
        <v>1205205.2784371618</v>
      </c>
      <c r="F34" s="47">
        <v>95</v>
      </c>
      <c r="G34" s="47">
        <f t="shared" si="1"/>
        <v>1144945.0145153038</v>
      </c>
      <c r="H34" s="47">
        <f t="shared" si="2"/>
        <v>130.701485675263</v>
      </c>
      <c r="I34" s="48">
        <f t="shared" si="3"/>
        <v>401.69250889254914</v>
      </c>
      <c r="J34" s="49">
        <f t="shared" si="4"/>
        <v>20.08462544462746</v>
      </c>
      <c r="K34" s="47">
        <f t="shared" si="5"/>
        <v>8013.765552406355</v>
      </c>
    </row>
    <row r="35" spans="1:11" ht="12">
      <c r="A35" s="42">
        <v>20</v>
      </c>
      <c r="B35" s="45">
        <v>2027</v>
      </c>
      <c r="C35" s="46">
        <f t="shared" si="6"/>
        <v>79.82716622847491</v>
      </c>
      <c r="D35" s="47">
        <f t="shared" si="0"/>
        <v>29136.91567339334</v>
      </c>
      <c r="E35" s="47">
        <f t="shared" si="7"/>
        <v>1268485.9084810647</v>
      </c>
      <c r="F35" s="47">
        <v>95</v>
      </c>
      <c r="G35" s="47">
        <f t="shared" si="1"/>
        <v>1205061.6130570115</v>
      </c>
      <c r="H35" s="47">
        <f t="shared" si="2"/>
        <v>137.5641110795675</v>
      </c>
      <c r="I35" s="48">
        <f t="shared" si="3"/>
        <v>422.7838163249219</v>
      </c>
      <c r="J35" s="49">
        <f t="shared" si="4"/>
        <v>21.139190816246096</v>
      </c>
      <c r="K35" s="47">
        <f t="shared" si="5"/>
        <v>8434.537135682192</v>
      </c>
    </row>
    <row r="36" spans="4:11" ht="12">
      <c r="D36" s="56">
        <f>SUM(D15:D35)</f>
        <v>483357.0226091286</v>
      </c>
      <c r="F36" s="50"/>
      <c r="J36" s="52" t="s">
        <v>258</v>
      </c>
      <c r="K36" s="53">
        <f>SUM(K15:K35)</f>
        <v>85546.54636563666</v>
      </c>
    </row>
  </sheetData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9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84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PIGARS'!E27</f>
        <v>46.436</v>
      </c>
      <c r="D15" s="47">
        <f aca="true" t="shared" si="0" ref="D15:D35">+C15*365</f>
        <v>16949.14</v>
      </c>
      <c r="E15" s="47">
        <f>2*$C$3*$C$4*D15*EXP(-1*$C$3*A15)</f>
        <v>54915.2136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47.5969</v>
      </c>
      <c r="D16" s="47">
        <f t="shared" si="0"/>
        <v>17372.8685</v>
      </c>
      <c r="E16" s="47">
        <f aca="true" t="shared" si="7" ref="E16:E35">2*$C$3*$C$4*D16*EXP(-1*$C$3*A16)+E15</f>
        <v>110088.72860295401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48.78682249999999</v>
      </c>
      <c r="D17" s="47">
        <f t="shared" si="0"/>
        <v>17807.190212499998</v>
      </c>
      <c r="E17" s="47">
        <f t="shared" si="7"/>
        <v>165521.75996570903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50.006493062499985</v>
      </c>
      <c r="D18" s="47">
        <f t="shared" si="0"/>
        <v>18252.369967812494</v>
      </c>
      <c r="E18" s="47">
        <f t="shared" si="7"/>
        <v>221215.52835983186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51.25665538906248</v>
      </c>
      <c r="D19" s="47">
        <f t="shared" si="0"/>
        <v>18708.679217007804</v>
      </c>
      <c r="E19" s="47">
        <f t="shared" si="7"/>
        <v>277171.26019848906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52.538071773789035</v>
      </c>
      <c r="D20" s="47">
        <f t="shared" si="0"/>
        <v>19176.396197432998</v>
      </c>
      <c r="E20" s="47">
        <f t="shared" si="7"/>
        <v>333390.18766345346</v>
      </c>
      <c r="F20" s="47">
        <v>95</v>
      </c>
      <c r="G20" s="47">
        <f t="shared" si="1"/>
        <v>316720.6782802808</v>
      </c>
      <c r="H20" s="47">
        <f t="shared" si="2"/>
        <v>36.15532857080831</v>
      </c>
      <c r="I20" s="48">
        <f t="shared" si="3"/>
        <v>111.1182827678537</v>
      </c>
      <c r="J20" s="49">
        <f t="shared" si="4"/>
        <v>5.555914138392685</v>
      </c>
      <c r="K20" s="47">
        <f t="shared" si="5"/>
        <v>2216.809741218681</v>
      </c>
    </row>
    <row r="21" spans="1:11" ht="12">
      <c r="A21" s="42">
        <v>6</v>
      </c>
      <c r="B21" s="45">
        <v>2013</v>
      </c>
      <c r="C21" s="46">
        <f t="shared" si="6"/>
        <v>53.85152356813376</v>
      </c>
      <c r="D21" s="47">
        <f t="shared" si="0"/>
        <v>19655.80610236882</v>
      </c>
      <c r="E21" s="47">
        <f t="shared" si="7"/>
        <v>389873.5487322374</v>
      </c>
      <c r="F21" s="47">
        <v>95</v>
      </c>
      <c r="G21" s="47">
        <f t="shared" si="1"/>
        <v>370379.8712956256</v>
      </c>
      <c r="H21" s="47">
        <f t="shared" si="2"/>
        <v>42.28080722552804</v>
      </c>
      <c r="I21" s="48">
        <f t="shared" si="3"/>
        <v>129.94407404535727</v>
      </c>
      <c r="J21" s="49">
        <f t="shared" si="4"/>
        <v>6.497203702267864</v>
      </c>
      <c r="K21" s="47">
        <f t="shared" si="5"/>
        <v>2592.3842772048774</v>
      </c>
    </row>
    <row r="22" spans="1:11" ht="12">
      <c r="A22" s="42">
        <v>7</v>
      </c>
      <c r="B22" s="45">
        <v>2014</v>
      </c>
      <c r="C22" s="46">
        <f t="shared" si="6"/>
        <v>55.1978116573371</v>
      </c>
      <c r="D22" s="47">
        <f t="shared" si="0"/>
        <v>20147.20125492804</v>
      </c>
      <c r="E22" s="47">
        <f t="shared" si="7"/>
        <v>446622.5872053541</v>
      </c>
      <c r="F22" s="47">
        <v>95</v>
      </c>
      <c r="G22" s="47">
        <f t="shared" si="1"/>
        <v>424291.45784508646</v>
      </c>
      <c r="H22" s="47">
        <f t="shared" si="2"/>
        <v>48.435097927521284</v>
      </c>
      <c r="I22" s="48">
        <f t="shared" si="3"/>
        <v>148.8584150703701</v>
      </c>
      <c r="J22" s="49">
        <f t="shared" si="4"/>
        <v>7.442920753518506</v>
      </c>
      <c r="K22" s="47">
        <f t="shared" si="5"/>
        <v>2969.725380653884</v>
      </c>
    </row>
    <row r="23" spans="1:11" ht="12">
      <c r="A23" s="42">
        <v>8</v>
      </c>
      <c r="B23" s="45">
        <v>2015</v>
      </c>
      <c r="C23" s="46">
        <f t="shared" si="6"/>
        <v>56.57775694877052</v>
      </c>
      <c r="D23" s="47">
        <f t="shared" si="0"/>
        <v>20650.88128630124</v>
      </c>
      <c r="E23" s="47">
        <f t="shared" si="7"/>
        <v>503638.55273370666</v>
      </c>
      <c r="F23" s="47">
        <v>95</v>
      </c>
      <c r="G23" s="47">
        <f t="shared" si="1"/>
        <v>478456.6250970213</v>
      </c>
      <c r="H23" s="47">
        <f t="shared" si="2"/>
        <v>54.6183361982901</v>
      </c>
      <c r="I23" s="48">
        <f t="shared" si="3"/>
        <v>167.86172234903893</v>
      </c>
      <c r="J23" s="49">
        <f t="shared" si="4"/>
        <v>8.393086117451947</v>
      </c>
      <c r="K23" s="47">
        <f t="shared" si="5"/>
        <v>3348.8413608633264</v>
      </c>
    </row>
    <row r="24" spans="1:11" ht="12">
      <c r="A24" s="42">
        <v>9</v>
      </c>
      <c r="B24" s="45">
        <v>2016</v>
      </c>
      <c r="C24" s="46">
        <f t="shared" si="6"/>
        <v>57.99220087248978</v>
      </c>
      <c r="D24" s="47">
        <f t="shared" si="0"/>
        <v>21167.15331845877</v>
      </c>
      <c r="E24" s="47">
        <f t="shared" si="7"/>
        <v>560922.7008461064</v>
      </c>
      <c r="F24" s="47">
        <v>95</v>
      </c>
      <c r="G24" s="47">
        <f t="shared" si="1"/>
        <v>532876.5658038011</v>
      </c>
      <c r="H24" s="47">
        <f t="shared" si="2"/>
        <v>60.830658196780945</v>
      </c>
      <c r="I24" s="48">
        <f t="shared" si="3"/>
        <v>186.95441434660555</v>
      </c>
      <c r="J24" s="49">
        <f t="shared" si="4"/>
        <v>9.347720717330278</v>
      </c>
      <c r="K24" s="47">
        <f t="shared" si="5"/>
        <v>3729.7405662147808</v>
      </c>
    </row>
    <row r="25" spans="1:11" ht="12">
      <c r="A25" s="42">
        <v>10</v>
      </c>
      <c r="B25" s="45">
        <v>2017</v>
      </c>
      <c r="C25" s="46">
        <f t="shared" si="6"/>
        <v>59.44200589430202</v>
      </c>
      <c r="D25" s="47">
        <f t="shared" si="0"/>
        <v>21696.332151420236</v>
      </c>
      <c r="E25" s="47">
        <f t="shared" si="7"/>
        <v>618476.2929769203</v>
      </c>
      <c r="F25" s="47">
        <v>95</v>
      </c>
      <c r="G25" s="47">
        <f t="shared" si="1"/>
        <v>587552.4783280742</v>
      </c>
      <c r="H25" s="47">
        <f t="shared" si="2"/>
        <v>67.0722007223829</v>
      </c>
      <c r="I25" s="48">
        <f t="shared" si="3"/>
        <v>206.13691149662154</v>
      </c>
      <c r="J25" s="49">
        <f t="shared" si="4"/>
        <v>10.306845574831078</v>
      </c>
      <c r="K25" s="47">
        <f t="shared" si="5"/>
        <v>4112.4313843576</v>
      </c>
    </row>
    <row r="26" spans="1:11" ht="12">
      <c r="A26" s="42">
        <v>11</v>
      </c>
      <c r="B26" s="45">
        <v>2018</v>
      </c>
      <c r="C26" s="46">
        <f t="shared" si="6"/>
        <v>60.928056041659566</v>
      </c>
      <c r="D26" s="47">
        <f t="shared" si="0"/>
        <v>22238.74045520574</v>
      </c>
      <c r="E26" s="47">
        <f t="shared" si="7"/>
        <v>676300.5964938487</v>
      </c>
      <c r="F26" s="47">
        <v>95</v>
      </c>
      <c r="G26" s="47">
        <f t="shared" si="1"/>
        <v>642485.5666691563</v>
      </c>
      <c r="H26" s="47">
        <f t="shared" si="2"/>
        <v>73.34310121794022</v>
      </c>
      <c r="I26" s="48">
        <f t="shared" si="3"/>
        <v>225.40963621020677</v>
      </c>
      <c r="J26" s="49">
        <f t="shared" si="4"/>
        <v>11.27048181051034</v>
      </c>
      <c r="K26" s="47">
        <f t="shared" si="5"/>
        <v>4496.922242393625</v>
      </c>
    </row>
    <row r="27" spans="1:11" ht="12">
      <c r="A27" s="42">
        <v>12</v>
      </c>
      <c r="B27" s="45">
        <v>2019</v>
      </c>
      <c r="C27" s="46">
        <f t="shared" si="6"/>
        <v>62.45125744270105</v>
      </c>
      <c r="D27" s="47">
        <f t="shared" si="0"/>
        <v>22794.708966585884</v>
      </c>
      <c r="E27" s="47">
        <f t="shared" si="7"/>
        <v>734396.8847258337</v>
      </c>
      <c r="F27" s="47">
        <v>95</v>
      </c>
      <c r="G27" s="47">
        <f t="shared" si="1"/>
        <v>697677.0404895421</v>
      </c>
      <c r="H27" s="47">
        <f t="shared" si="2"/>
        <v>79.64349777277877</v>
      </c>
      <c r="I27" s="48">
        <f t="shared" si="3"/>
        <v>244.77301288535094</v>
      </c>
      <c r="J27" s="49">
        <f t="shared" si="4"/>
        <v>12.238650644267548</v>
      </c>
      <c r="K27" s="47">
        <f t="shared" si="5"/>
        <v>4883.221607062751</v>
      </c>
    </row>
    <row r="28" spans="1:11" ht="12">
      <c r="A28" s="42">
        <v>13</v>
      </c>
      <c r="B28" s="45">
        <v>2020</v>
      </c>
      <c r="C28" s="46">
        <f t="shared" si="6"/>
        <v>64.01253887876857</v>
      </c>
      <c r="D28" s="47">
        <f t="shared" si="0"/>
        <v>23364.576690750528</v>
      </c>
      <c r="E28" s="47">
        <f t="shared" si="7"/>
        <v>792766.4369910981</v>
      </c>
      <c r="F28" s="47">
        <v>95</v>
      </c>
      <c r="G28" s="47">
        <f t="shared" si="1"/>
        <v>753128.1151415431</v>
      </c>
      <c r="H28" s="47">
        <f t="shared" si="2"/>
        <v>85.97352912574694</v>
      </c>
      <c r="I28" s="48">
        <f t="shared" si="3"/>
        <v>264.22746791625895</v>
      </c>
      <c r="J28" s="49">
        <f t="shared" si="4"/>
        <v>13.211373395812949</v>
      </c>
      <c r="K28" s="47">
        <f t="shared" si="5"/>
        <v>5271.337984929366</v>
      </c>
    </row>
    <row r="29" spans="1:11" ht="12">
      <c r="A29" s="42">
        <v>14</v>
      </c>
      <c r="B29" s="45">
        <v>2021</v>
      </c>
      <c r="C29" s="46">
        <f t="shared" si="6"/>
        <v>65.61285235073777</v>
      </c>
      <c r="D29" s="47">
        <f t="shared" si="0"/>
        <v>23948.691108019284</v>
      </c>
      <c r="E29" s="47">
        <f t="shared" si="7"/>
        <v>851410.5386253176</v>
      </c>
      <c r="F29" s="47">
        <v>95</v>
      </c>
      <c r="G29" s="47">
        <f t="shared" si="1"/>
        <v>808840.0116940518</v>
      </c>
      <c r="H29" s="47">
        <f t="shared" si="2"/>
        <v>92.33333466827075</v>
      </c>
      <c r="I29" s="48">
        <f t="shared" si="3"/>
        <v>283.7734297027411</v>
      </c>
      <c r="J29" s="49">
        <f t="shared" si="4"/>
        <v>14.188671485137057</v>
      </c>
      <c r="K29" s="47">
        <f t="shared" si="5"/>
        <v>5661.279922569685</v>
      </c>
    </row>
    <row r="30" spans="1:11" ht="12">
      <c r="A30" s="42">
        <v>15</v>
      </c>
      <c r="B30" s="45">
        <v>2022</v>
      </c>
      <c r="C30" s="46">
        <f t="shared" si="6"/>
        <v>67.2531736595062</v>
      </c>
      <c r="D30" s="47">
        <f t="shared" si="0"/>
        <v>24547.408385719766</v>
      </c>
      <c r="E30" s="47">
        <f t="shared" si="7"/>
        <v>910330.4810099243</v>
      </c>
      <c r="F30" s="47">
        <v>95</v>
      </c>
      <c r="G30" s="47">
        <f t="shared" si="1"/>
        <v>864813.956959428</v>
      </c>
      <c r="H30" s="47">
        <f t="shared" si="2"/>
        <v>98.7230544474233</v>
      </c>
      <c r="I30" s="48">
        <f t="shared" si="3"/>
        <v>303.4113286596457</v>
      </c>
      <c r="J30" s="49">
        <f t="shared" si="4"/>
        <v>15.170566432982284</v>
      </c>
      <c r="K30" s="47">
        <f t="shared" si="5"/>
        <v>6053.056006759931</v>
      </c>
    </row>
    <row r="31" spans="1:11" ht="12">
      <c r="A31" s="42">
        <v>16</v>
      </c>
      <c r="B31" s="45">
        <v>2023</v>
      </c>
      <c r="C31" s="46">
        <f t="shared" si="6"/>
        <v>68.93450300099386</v>
      </c>
      <c r="D31" s="47">
        <f t="shared" si="0"/>
        <v>25161.09359536276</v>
      </c>
      <c r="E31" s="47">
        <f t="shared" si="7"/>
        <v>969527.5616005438</v>
      </c>
      <c r="F31" s="47">
        <v>95</v>
      </c>
      <c r="G31" s="47">
        <f t="shared" si="1"/>
        <v>921051.1835205166</v>
      </c>
      <c r="H31" s="47">
        <f t="shared" si="2"/>
        <v>105.14282916900875</v>
      </c>
      <c r="I31" s="48">
        <f t="shared" si="3"/>
        <v>323.14159722633804</v>
      </c>
      <c r="J31" s="49">
        <f t="shared" si="4"/>
        <v>16.1570798613169</v>
      </c>
      <c r="K31" s="47">
        <f t="shared" si="5"/>
        <v>6446.674864665444</v>
      </c>
    </row>
    <row r="32" spans="1:11" ht="12">
      <c r="A32" s="42">
        <v>17</v>
      </c>
      <c r="B32" s="45">
        <v>2024</v>
      </c>
      <c r="C32" s="46">
        <f t="shared" si="6"/>
        <v>70.6578655760187</v>
      </c>
      <c r="D32" s="47">
        <f t="shared" si="0"/>
        <v>25790.12093524682</v>
      </c>
      <c r="E32" s="47">
        <f t="shared" si="7"/>
        <v>1029003.083955566</v>
      </c>
      <c r="F32" s="47">
        <v>95</v>
      </c>
      <c r="G32" s="47">
        <f t="shared" si="1"/>
        <v>977552.9297577877</v>
      </c>
      <c r="H32" s="47">
        <f t="shared" si="2"/>
        <v>111.5928002006607</v>
      </c>
      <c r="I32" s="48">
        <f t="shared" si="3"/>
        <v>342.9646698762222</v>
      </c>
      <c r="J32" s="49">
        <f t="shared" si="4"/>
        <v>17.148233493811112</v>
      </c>
      <c r="K32" s="47">
        <f t="shared" si="5"/>
        <v>6842.145164030633</v>
      </c>
    </row>
    <row r="33" spans="1:11" ht="12">
      <c r="A33" s="42">
        <v>18</v>
      </c>
      <c r="B33" s="45">
        <v>2025</v>
      </c>
      <c r="C33" s="46">
        <f t="shared" si="6"/>
        <v>72.42431221541915</v>
      </c>
      <c r="D33" s="47">
        <f t="shared" si="0"/>
        <v>26434.873958627988</v>
      </c>
      <c r="E33" s="47">
        <f t="shared" si="7"/>
        <v>1088758.3577648506</v>
      </c>
      <c r="F33" s="47">
        <v>95</v>
      </c>
      <c r="G33" s="47">
        <f t="shared" si="1"/>
        <v>1034320.4398766081</v>
      </c>
      <c r="H33" s="47">
        <f t="shared" si="2"/>
        <v>118.07310957495527</v>
      </c>
      <c r="I33" s="48">
        <f t="shared" si="3"/>
        <v>362.8809831263091</v>
      </c>
      <c r="J33" s="49">
        <f t="shared" si="4"/>
        <v>18.144049156315457</v>
      </c>
      <c r="K33" s="47">
        <f t="shared" si="5"/>
        <v>7239.475613369867</v>
      </c>
    </row>
    <row r="34" spans="1:11" ht="12">
      <c r="A34" s="42">
        <v>19</v>
      </c>
      <c r="B34" s="45">
        <v>2026</v>
      </c>
      <c r="C34" s="46">
        <f t="shared" si="6"/>
        <v>74.23492002080462</v>
      </c>
      <c r="D34" s="47">
        <f t="shared" si="0"/>
        <v>27095.74580759369</v>
      </c>
      <c r="E34" s="47">
        <f t="shared" si="7"/>
        <v>1148794.6988785667</v>
      </c>
      <c r="F34" s="47">
        <v>95</v>
      </c>
      <c r="G34" s="47">
        <f t="shared" si="1"/>
        <v>1091354.9639346383</v>
      </c>
      <c r="H34" s="47">
        <f t="shared" si="2"/>
        <v>124.58389999253862</v>
      </c>
      <c r="I34" s="48">
        <f t="shared" si="3"/>
        <v>382.8909755468285</v>
      </c>
      <c r="J34" s="49">
        <f t="shared" si="4"/>
        <v>19.144548777341424</v>
      </c>
      <c r="K34" s="47">
        <f t="shared" si="5"/>
        <v>7638.674962159229</v>
      </c>
    </row>
    <row r="35" spans="1:11" ht="12">
      <c r="A35" s="42">
        <v>20</v>
      </c>
      <c r="B35" s="45">
        <v>2027</v>
      </c>
      <c r="C35" s="46">
        <f t="shared" si="6"/>
        <v>76.09079302132473</v>
      </c>
      <c r="D35" s="47">
        <f t="shared" si="0"/>
        <v>27773.139452783525</v>
      </c>
      <c r="E35" s="47">
        <f t="shared" si="7"/>
        <v>1209113.4293361695</v>
      </c>
      <c r="F35" s="47">
        <v>95</v>
      </c>
      <c r="G35" s="47">
        <f t="shared" si="1"/>
        <v>1148657.757869361</v>
      </c>
      <c r="H35" s="47">
        <f t="shared" si="2"/>
        <v>131.12531482526953</v>
      </c>
      <c r="I35" s="48">
        <f t="shared" si="3"/>
        <v>402.9950877708866</v>
      </c>
      <c r="J35" s="49">
        <f t="shared" si="4"/>
        <v>20.14975438854433</v>
      </c>
      <c r="K35" s="47">
        <f t="shared" si="5"/>
        <v>8039.752001029186</v>
      </c>
    </row>
    <row r="36" spans="4:11" ht="12">
      <c r="D36" s="56">
        <f>SUM(D15:D35)</f>
        <v>460733.11756412627</v>
      </c>
      <c r="F36" s="50"/>
      <c r="J36" s="52" t="s">
        <v>258</v>
      </c>
      <c r="K36" s="53">
        <f>SUM(K15:K35)</f>
        <v>81542.47307948288</v>
      </c>
    </row>
  </sheetData>
  <sheetProtection/>
  <printOptions/>
  <pageMargins left="0.75" right="0.75" top="1" bottom="1" header="0" footer="0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D2:F202"/>
  <sheetViews>
    <sheetView zoomScalePageLayoutView="0" workbookViewId="0" topLeftCell="A1">
      <selection activeCell="B33" sqref="B33"/>
    </sheetView>
  </sheetViews>
  <sheetFormatPr defaultColWidth="11.421875" defaultRowHeight="12.75"/>
  <cols>
    <col min="4" max="4" width="37.8515625" style="0" customWidth="1"/>
    <col min="5" max="5" width="12.7109375" style="0" bestFit="1" customWidth="1"/>
    <col min="6" max="6" width="23.140625" style="0" customWidth="1"/>
    <col min="7" max="7" width="7.57421875" style="0" customWidth="1"/>
    <col min="8" max="8" width="8.8515625" style="0" customWidth="1"/>
    <col min="9" max="9" width="9.140625" style="0" customWidth="1"/>
  </cols>
  <sheetData>
    <row r="2" spans="4:6" ht="12.75">
      <c r="D2" s="25" t="s">
        <v>238</v>
      </c>
      <c r="E2" s="26">
        <v>0.711</v>
      </c>
      <c r="F2" t="s">
        <v>241</v>
      </c>
    </row>
    <row r="5" spans="4:6" ht="25.5">
      <c r="D5" s="20" t="s">
        <v>38</v>
      </c>
      <c r="E5" s="24" t="s">
        <v>235</v>
      </c>
      <c r="F5" s="24" t="s">
        <v>236</v>
      </c>
    </row>
    <row r="6" spans="4:6" ht="12.75">
      <c r="D6" t="s">
        <v>39</v>
      </c>
      <c r="E6">
        <v>49573</v>
      </c>
      <c r="F6" s="22">
        <f>+E6*$E$2/1000</f>
        <v>35.246403</v>
      </c>
    </row>
    <row r="7" spans="4:6" ht="12.75">
      <c r="D7" t="s">
        <v>40</v>
      </c>
      <c r="E7">
        <v>74256</v>
      </c>
      <c r="F7" s="22">
        <f aca="true" t="shared" si="0" ref="F7:F70">+E7*$E$2/1000</f>
        <v>52.796015999999995</v>
      </c>
    </row>
    <row r="8" spans="4:6" ht="12.75">
      <c r="D8" t="s">
        <v>41</v>
      </c>
      <c r="E8">
        <v>24977</v>
      </c>
      <c r="F8" s="22">
        <f t="shared" si="0"/>
        <v>17.758647</v>
      </c>
    </row>
    <row r="9" spans="4:6" ht="12.75">
      <c r="D9" t="s">
        <v>42</v>
      </c>
      <c r="E9">
        <v>46925</v>
      </c>
      <c r="F9" s="22">
        <f t="shared" si="0"/>
        <v>33.36367499999999</v>
      </c>
    </row>
    <row r="10" spans="4:6" ht="12.75">
      <c r="D10" t="s">
        <v>43</v>
      </c>
      <c r="E10">
        <v>49733</v>
      </c>
      <c r="F10" s="22">
        <f t="shared" si="0"/>
        <v>35.360163</v>
      </c>
    </row>
    <row r="11" spans="4:6" ht="12.75">
      <c r="D11" t="s">
        <v>44</v>
      </c>
      <c r="E11">
        <v>25869</v>
      </c>
      <c r="F11" s="22">
        <f t="shared" si="0"/>
        <v>18.392859</v>
      </c>
    </row>
    <row r="12" spans="4:6" ht="12.75">
      <c r="D12" t="s">
        <v>45</v>
      </c>
      <c r="E12">
        <v>118367</v>
      </c>
      <c r="F12" s="22">
        <f t="shared" si="0"/>
        <v>84.158937</v>
      </c>
    </row>
    <row r="13" spans="4:6" ht="12.75">
      <c r="D13" t="s">
        <v>46</v>
      </c>
      <c r="E13">
        <v>143415</v>
      </c>
      <c r="F13" s="22">
        <f t="shared" si="0"/>
        <v>101.96806499999998</v>
      </c>
    </row>
    <row r="14" spans="4:6" ht="12.75">
      <c r="D14" t="s">
        <v>47</v>
      </c>
      <c r="E14">
        <v>8740</v>
      </c>
      <c r="F14" s="22">
        <f t="shared" si="0"/>
        <v>6.2141399999999996</v>
      </c>
    </row>
    <row r="15" spans="4:6" ht="12.75">
      <c r="D15" t="s">
        <v>48</v>
      </c>
      <c r="E15">
        <v>17595</v>
      </c>
      <c r="F15" s="22">
        <f t="shared" si="0"/>
        <v>12.510045</v>
      </c>
    </row>
    <row r="16" spans="4:6" ht="12.75">
      <c r="D16" t="s">
        <v>49</v>
      </c>
      <c r="E16">
        <v>9660</v>
      </c>
      <c r="F16" s="22">
        <f t="shared" si="0"/>
        <v>6.868259999999999</v>
      </c>
    </row>
    <row r="17" spans="4:6" ht="12.75">
      <c r="D17" t="s">
        <v>50</v>
      </c>
      <c r="E17">
        <v>26208</v>
      </c>
      <c r="F17" s="22">
        <f t="shared" si="0"/>
        <v>18.633888</v>
      </c>
    </row>
    <row r="18" spans="4:6" ht="12.75">
      <c r="D18" t="s">
        <v>51</v>
      </c>
      <c r="E18">
        <v>43652</v>
      </c>
      <c r="F18" s="22">
        <f t="shared" si="0"/>
        <v>31.036572</v>
      </c>
    </row>
    <row r="19" spans="4:6" ht="12.75">
      <c r="D19" t="s">
        <v>52</v>
      </c>
      <c r="E19">
        <v>21109</v>
      </c>
      <c r="F19" s="22">
        <f t="shared" si="0"/>
        <v>15.008499</v>
      </c>
    </row>
    <row r="20" spans="4:6" ht="12.75">
      <c r="D20" t="s">
        <v>53</v>
      </c>
      <c r="E20">
        <v>41477</v>
      </c>
      <c r="F20" s="22">
        <f t="shared" si="0"/>
        <v>29.490146999999997</v>
      </c>
    </row>
    <row r="21" spans="4:6" ht="12.75">
      <c r="D21" t="s">
        <v>54</v>
      </c>
      <c r="E21">
        <v>7786</v>
      </c>
      <c r="F21" s="22">
        <f t="shared" si="0"/>
        <v>5.535845999999999</v>
      </c>
    </row>
    <row r="22" spans="4:6" ht="12.75">
      <c r="D22" t="s">
        <v>55</v>
      </c>
      <c r="E22">
        <v>59301</v>
      </c>
      <c r="F22" s="22">
        <f t="shared" si="0"/>
        <v>42.163011</v>
      </c>
    </row>
    <row r="23" spans="4:6" ht="12.75">
      <c r="D23" t="s">
        <v>56</v>
      </c>
      <c r="E23">
        <v>26893</v>
      </c>
      <c r="F23" s="22">
        <f t="shared" si="0"/>
        <v>19.120922999999998</v>
      </c>
    </row>
    <row r="24" spans="4:6" ht="12.75">
      <c r="D24" t="s">
        <v>57</v>
      </c>
      <c r="E24">
        <v>52845</v>
      </c>
      <c r="F24" s="22">
        <f t="shared" si="0"/>
        <v>37.572795</v>
      </c>
    </row>
    <row r="25" spans="4:6" ht="12.75">
      <c r="D25" t="s">
        <v>58</v>
      </c>
      <c r="E25">
        <v>23482</v>
      </c>
      <c r="F25" s="22">
        <f t="shared" si="0"/>
        <v>16.695701999999997</v>
      </c>
    </row>
    <row r="26" spans="4:6" ht="12.75">
      <c r="D26" t="s">
        <v>59</v>
      </c>
      <c r="E26">
        <v>6863</v>
      </c>
      <c r="F26" s="22">
        <f t="shared" si="0"/>
        <v>4.879593</v>
      </c>
    </row>
    <row r="27" spans="4:6" ht="12.75">
      <c r="D27" t="s">
        <v>60</v>
      </c>
      <c r="E27">
        <v>28580</v>
      </c>
      <c r="F27" s="22">
        <f t="shared" si="0"/>
        <v>20.320379999999997</v>
      </c>
    </row>
    <row r="28" spans="4:6" ht="12.75">
      <c r="D28" t="s">
        <v>61</v>
      </c>
      <c r="E28">
        <v>28174</v>
      </c>
      <c r="F28" s="22">
        <f t="shared" si="0"/>
        <v>20.031714</v>
      </c>
    </row>
    <row r="29" spans="4:6" ht="12.75">
      <c r="D29" t="s">
        <v>62</v>
      </c>
      <c r="E29">
        <v>18126</v>
      </c>
      <c r="F29" s="22">
        <f t="shared" si="0"/>
        <v>12.887585999999999</v>
      </c>
    </row>
    <row r="30" spans="4:6" ht="12.75">
      <c r="D30" t="s">
        <v>63</v>
      </c>
      <c r="E30">
        <v>390171</v>
      </c>
      <c r="F30" s="22">
        <f t="shared" si="0"/>
        <v>277.411581</v>
      </c>
    </row>
    <row r="31" spans="4:6" ht="12.75">
      <c r="D31" t="s">
        <v>64</v>
      </c>
      <c r="E31">
        <v>30849</v>
      </c>
      <c r="F31" s="22">
        <f t="shared" si="0"/>
        <v>21.933639</v>
      </c>
    </row>
    <row r="32" spans="4:6" ht="12.75">
      <c r="D32" t="s">
        <v>65</v>
      </c>
      <c r="E32">
        <v>54489</v>
      </c>
      <c r="F32" s="22">
        <f t="shared" si="0"/>
        <v>38.741679</v>
      </c>
    </row>
    <row r="33" spans="4:6" ht="12.75">
      <c r="D33" t="s">
        <v>66</v>
      </c>
      <c r="E33">
        <v>101599</v>
      </c>
      <c r="F33" s="22">
        <f t="shared" si="0"/>
        <v>72.23688899999999</v>
      </c>
    </row>
    <row r="34" spans="4:6" ht="12.75">
      <c r="D34" t="s">
        <v>67</v>
      </c>
      <c r="E34">
        <v>146093</v>
      </c>
      <c r="F34" s="22">
        <f t="shared" si="0"/>
        <v>103.87212299999999</v>
      </c>
    </row>
    <row r="35" spans="4:6" ht="12.75">
      <c r="D35" t="s">
        <v>68</v>
      </c>
      <c r="E35">
        <v>13107</v>
      </c>
      <c r="F35" s="22">
        <f t="shared" si="0"/>
        <v>9.319077</v>
      </c>
    </row>
    <row r="36" spans="4:6" ht="12.75">
      <c r="D36" t="s">
        <v>69</v>
      </c>
      <c r="E36">
        <v>32501</v>
      </c>
      <c r="F36" s="22">
        <f t="shared" si="0"/>
        <v>23.108211</v>
      </c>
    </row>
    <row r="37" spans="4:6" ht="12.75">
      <c r="D37" t="s">
        <v>70</v>
      </c>
      <c r="E37">
        <v>46258</v>
      </c>
      <c r="F37" s="22">
        <f t="shared" si="0"/>
        <v>32.889438</v>
      </c>
    </row>
    <row r="38" spans="4:6" ht="12.75">
      <c r="D38" t="s">
        <v>71</v>
      </c>
      <c r="E38">
        <v>52317</v>
      </c>
      <c r="F38" s="22">
        <f t="shared" si="0"/>
        <v>37.19738699999999</v>
      </c>
    </row>
    <row r="39" spans="4:6" ht="12.75">
      <c r="D39" t="s">
        <v>72</v>
      </c>
      <c r="E39">
        <v>27007</v>
      </c>
      <c r="F39" s="22">
        <f t="shared" si="0"/>
        <v>19.201977</v>
      </c>
    </row>
    <row r="40" spans="4:6" ht="12.75">
      <c r="D40" t="s">
        <v>73</v>
      </c>
      <c r="E40">
        <v>861746</v>
      </c>
      <c r="F40" s="22">
        <f t="shared" si="0"/>
        <v>612.7014059999999</v>
      </c>
    </row>
    <row r="41" spans="4:6" ht="12.75">
      <c r="D41" t="s">
        <v>74</v>
      </c>
      <c r="E41">
        <v>51314</v>
      </c>
      <c r="F41" s="22">
        <f t="shared" si="0"/>
        <v>36.484254</v>
      </c>
    </row>
    <row r="42" spans="4:6" ht="12.75">
      <c r="D42" t="s">
        <v>75</v>
      </c>
      <c r="E42">
        <v>31477</v>
      </c>
      <c r="F42" s="22">
        <f t="shared" si="0"/>
        <v>22.380146999999997</v>
      </c>
    </row>
    <row r="43" spans="4:6" ht="12.75">
      <c r="D43" t="s">
        <v>76</v>
      </c>
      <c r="E43">
        <v>36568</v>
      </c>
      <c r="F43" s="22">
        <f t="shared" si="0"/>
        <v>25.999847999999997</v>
      </c>
    </row>
    <row r="44" spans="4:6" ht="12.75">
      <c r="D44" t="s">
        <v>77</v>
      </c>
      <c r="E44">
        <v>72214</v>
      </c>
      <c r="F44" s="22">
        <f t="shared" si="0"/>
        <v>51.344153999999996</v>
      </c>
    </row>
    <row r="45" spans="4:6" ht="12.75">
      <c r="D45" t="s">
        <v>78</v>
      </c>
      <c r="E45">
        <v>18963</v>
      </c>
      <c r="F45" s="22">
        <f t="shared" si="0"/>
        <v>13.482693</v>
      </c>
    </row>
    <row r="46" spans="4:6" ht="12.75">
      <c r="D46" t="s">
        <v>79</v>
      </c>
      <c r="E46">
        <v>51328</v>
      </c>
      <c r="F46" s="22">
        <f t="shared" si="0"/>
        <v>36.494208</v>
      </c>
    </row>
    <row r="47" spans="4:6" ht="12.75">
      <c r="D47" t="s">
        <v>80</v>
      </c>
      <c r="E47">
        <v>17200</v>
      </c>
      <c r="F47" s="22">
        <f t="shared" si="0"/>
        <v>12.229199999999999</v>
      </c>
    </row>
    <row r="48" spans="4:6" ht="12.75">
      <c r="D48" t="s">
        <v>81</v>
      </c>
      <c r="E48">
        <v>233457</v>
      </c>
      <c r="F48" s="22">
        <f t="shared" si="0"/>
        <v>165.98792699999998</v>
      </c>
    </row>
    <row r="49" spans="4:6" ht="12.75">
      <c r="D49" t="s">
        <v>82</v>
      </c>
      <c r="E49">
        <v>36977</v>
      </c>
      <c r="F49" s="22">
        <f t="shared" si="0"/>
        <v>26.290646999999996</v>
      </c>
    </row>
    <row r="50" spans="4:6" ht="12.75">
      <c r="D50" t="s">
        <v>83</v>
      </c>
      <c r="E50">
        <v>12120</v>
      </c>
      <c r="F50" s="22">
        <f t="shared" si="0"/>
        <v>8.61732</v>
      </c>
    </row>
    <row r="51" spans="4:6" ht="12.75">
      <c r="D51" t="s">
        <v>84</v>
      </c>
      <c r="E51">
        <v>89300</v>
      </c>
      <c r="F51" s="22">
        <f t="shared" si="0"/>
        <v>63.49229999999999</v>
      </c>
    </row>
    <row r="52" spans="4:6" ht="12.75">
      <c r="D52" t="s">
        <v>85</v>
      </c>
      <c r="E52">
        <v>82473</v>
      </c>
      <c r="F52" s="22">
        <f t="shared" si="0"/>
        <v>58.638303</v>
      </c>
    </row>
    <row r="53" spans="4:6" ht="12.75">
      <c r="D53" t="s">
        <v>86</v>
      </c>
      <c r="E53">
        <v>62297</v>
      </c>
      <c r="F53" s="22">
        <f t="shared" si="0"/>
        <v>44.293167000000004</v>
      </c>
    </row>
    <row r="54" spans="4:6" ht="12.75">
      <c r="D54" t="s">
        <v>87</v>
      </c>
      <c r="E54">
        <v>28874</v>
      </c>
      <c r="F54" s="22">
        <f t="shared" si="0"/>
        <v>20.529414</v>
      </c>
    </row>
    <row r="55" spans="4:6" ht="12.75">
      <c r="D55" t="s">
        <v>88</v>
      </c>
      <c r="E55">
        <v>10610</v>
      </c>
      <c r="F55" s="22">
        <f t="shared" si="0"/>
        <v>7.54371</v>
      </c>
    </row>
    <row r="56" spans="4:6" ht="12.75">
      <c r="D56" t="s">
        <v>89</v>
      </c>
      <c r="E56">
        <v>13630</v>
      </c>
      <c r="F56" s="22">
        <f t="shared" si="0"/>
        <v>9.69093</v>
      </c>
    </row>
    <row r="57" spans="4:6" ht="12.75">
      <c r="D57" t="s">
        <v>90</v>
      </c>
      <c r="E57">
        <v>23656</v>
      </c>
      <c r="F57" s="22">
        <f t="shared" si="0"/>
        <v>16.819415999999997</v>
      </c>
    </row>
    <row r="58" spans="4:6" ht="12.75">
      <c r="D58" t="s">
        <v>91</v>
      </c>
      <c r="E58">
        <v>25944</v>
      </c>
      <c r="F58" s="22">
        <f t="shared" si="0"/>
        <v>18.446184</v>
      </c>
    </row>
    <row r="59" spans="4:6" ht="12.75">
      <c r="D59" t="s">
        <v>92</v>
      </c>
      <c r="E59">
        <v>277443</v>
      </c>
      <c r="F59" s="22">
        <f t="shared" si="0"/>
        <v>197.261973</v>
      </c>
    </row>
    <row r="60" spans="4:6" ht="12.75">
      <c r="D60" t="s">
        <v>93</v>
      </c>
      <c r="E60">
        <v>74988</v>
      </c>
      <c r="F60" s="22">
        <f t="shared" si="0"/>
        <v>53.316468</v>
      </c>
    </row>
    <row r="61" spans="4:6" ht="12.75">
      <c r="D61" t="s">
        <v>94</v>
      </c>
      <c r="E61">
        <v>89006</v>
      </c>
      <c r="F61" s="22">
        <f t="shared" si="0"/>
        <v>63.283266</v>
      </c>
    </row>
    <row r="62" spans="4:6" ht="12.75">
      <c r="D62" t="s">
        <v>95</v>
      </c>
      <c r="E62">
        <v>165411</v>
      </c>
      <c r="F62" s="22">
        <f t="shared" si="0"/>
        <v>117.607221</v>
      </c>
    </row>
    <row r="63" spans="4:6" ht="12.75">
      <c r="D63" t="s">
        <v>96</v>
      </c>
      <c r="E63">
        <v>32406</v>
      </c>
      <c r="F63" s="22">
        <f t="shared" si="0"/>
        <v>23.040665999999998</v>
      </c>
    </row>
    <row r="64" spans="4:6" ht="12.75">
      <c r="D64" t="s">
        <v>97</v>
      </c>
      <c r="E64">
        <v>142533</v>
      </c>
      <c r="F64" s="22">
        <f t="shared" si="0"/>
        <v>101.34096299999999</v>
      </c>
    </row>
    <row r="65" spans="4:6" ht="12.75">
      <c r="D65" t="s">
        <v>98</v>
      </c>
      <c r="E65">
        <v>94076</v>
      </c>
      <c r="F65" s="22">
        <f t="shared" si="0"/>
        <v>66.888036</v>
      </c>
    </row>
    <row r="66" spans="4:6" ht="12.75">
      <c r="D66" t="s">
        <v>99</v>
      </c>
      <c r="E66">
        <v>179699</v>
      </c>
      <c r="F66" s="22">
        <f t="shared" si="0"/>
        <v>127.76598899999999</v>
      </c>
    </row>
    <row r="67" spans="4:6" ht="12.75">
      <c r="D67" t="s">
        <v>100</v>
      </c>
      <c r="E67">
        <v>127523</v>
      </c>
      <c r="F67" s="22">
        <f t="shared" si="0"/>
        <v>90.668853</v>
      </c>
    </row>
    <row r="68" spans="4:6" ht="12.75">
      <c r="D68" t="s">
        <v>101</v>
      </c>
      <c r="E68">
        <v>51717</v>
      </c>
      <c r="F68" s="22">
        <f t="shared" si="0"/>
        <v>36.770787</v>
      </c>
    </row>
    <row r="69" spans="4:6" ht="12.75">
      <c r="D69" t="s">
        <v>102</v>
      </c>
      <c r="E69">
        <v>56497</v>
      </c>
      <c r="F69" s="22">
        <f t="shared" si="0"/>
        <v>40.169367</v>
      </c>
    </row>
    <row r="70" spans="4:6" ht="12.75">
      <c r="D70" t="s">
        <v>103</v>
      </c>
      <c r="E70">
        <v>23513</v>
      </c>
      <c r="F70" s="22">
        <f t="shared" si="0"/>
        <v>16.717743</v>
      </c>
    </row>
    <row r="71" spans="4:6" ht="12.75">
      <c r="D71" t="s">
        <v>104</v>
      </c>
      <c r="E71">
        <v>44211</v>
      </c>
      <c r="F71" s="22">
        <f aca="true" t="shared" si="1" ref="F71:F134">+E71*$E$2/1000</f>
        <v>31.434020999999998</v>
      </c>
    </row>
    <row r="72" spans="4:6" ht="12.75">
      <c r="D72" t="s">
        <v>105</v>
      </c>
      <c r="E72">
        <v>810568</v>
      </c>
      <c r="F72" s="22">
        <f t="shared" si="1"/>
        <v>576.313848</v>
      </c>
    </row>
    <row r="73" spans="4:6" ht="12.75">
      <c r="D73" t="s">
        <v>106</v>
      </c>
      <c r="E73">
        <v>348493</v>
      </c>
      <c r="F73" s="22">
        <f t="shared" si="1"/>
        <v>247.77852299999998</v>
      </c>
    </row>
    <row r="74" spans="4:6" ht="12.75">
      <c r="D74" t="s">
        <v>107</v>
      </c>
      <c r="E74">
        <v>27704</v>
      </c>
      <c r="F74" s="22">
        <f t="shared" si="1"/>
        <v>19.697543999999997</v>
      </c>
    </row>
    <row r="75" spans="4:6" ht="12.75">
      <c r="D75" t="s">
        <v>108</v>
      </c>
      <c r="E75">
        <v>57905</v>
      </c>
      <c r="F75" s="22">
        <f t="shared" si="1"/>
        <v>41.170455</v>
      </c>
    </row>
    <row r="76" spans="4:6" ht="12.75">
      <c r="D76" t="s">
        <v>109</v>
      </c>
      <c r="E76">
        <v>61715</v>
      </c>
      <c r="F76" s="22">
        <f t="shared" si="1"/>
        <v>43.879365</v>
      </c>
    </row>
    <row r="77" spans="4:6" ht="12.75">
      <c r="D77" t="s">
        <v>110</v>
      </c>
      <c r="E77">
        <v>42368</v>
      </c>
      <c r="F77" s="22">
        <f t="shared" si="1"/>
        <v>30.123647999999996</v>
      </c>
    </row>
    <row r="78" spans="4:6" ht="12.75">
      <c r="D78" t="s">
        <v>111</v>
      </c>
      <c r="E78">
        <v>103974</v>
      </c>
      <c r="F78" s="22">
        <f t="shared" si="1"/>
        <v>73.92551399999999</v>
      </c>
    </row>
    <row r="79" spans="4:6" ht="12.75">
      <c r="D79" t="s">
        <v>112</v>
      </c>
      <c r="E79">
        <v>77721</v>
      </c>
      <c r="F79" s="22">
        <f t="shared" si="1"/>
        <v>55.25963099999999</v>
      </c>
    </row>
    <row r="80" spans="4:6" ht="12.75">
      <c r="D80" t="s">
        <v>113</v>
      </c>
      <c r="E80">
        <v>66908</v>
      </c>
      <c r="F80" s="22">
        <f t="shared" si="1"/>
        <v>47.571588</v>
      </c>
    </row>
    <row r="81" spans="4:6" ht="12.75">
      <c r="D81" t="s">
        <v>114</v>
      </c>
      <c r="E81">
        <v>165415</v>
      </c>
      <c r="F81" s="22">
        <f t="shared" si="1"/>
        <v>117.61006499999999</v>
      </c>
    </row>
    <row r="82" spans="4:6" ht="12.75">
      <c r="D82" t="s">
        <v>115</v>
      </c>
      <c r="E82">
        <v>32244</v>
      </c>
      <c r="F82" s="22">
        <f t="shared" si="1"/>
        <v>22.925484</v>
      </c>
    </row>
    <row r="83" spans="4:6" ht="12.75">
      <c r="D83" t="s">
        <v>116</v>
      </c>
      <c r="E83">
        <v>47313</v>
      </c>
      <c r="F83" s="22">
        <f t="shared" si="1"/>
        <v>33.639542999999996</v>
      </c>
    </row>
    <row r="84" spans="4:6" ht="12.75">
      <c r="D84" t="s">
        <v>117</v>
      </c>
      <c r="E84">
        <v>82802</v>
      </c>
      <c r="F84" s="22">
        <f t="shared" si="1"/>
        <v>58.872221999999994</v>
      </c>
    </row>
    <row r="85" spans="4:6" ht="12.75">
      <c r="D85" t="s">
        <v>118</v>
      </c>
      <c r="E85">
        <v>56941</v>
      </c>
      <c r="F85" s="22">
        <f t="shared" si="1"/>
        <v>40.485051</v>
      </c>
    </row>
    <row r="86" spans="4:6" ht="12.75">
      <c r="D86" t="s">
        <v>119</v>
      </c>
      <c r="E86">
        <v>136975</v>
      </c>
      <c r="F86" s="22">
        <f t="shared" si="1"/>
        <v>97.389225</v>
      </c>
    </row>
    <row r="87" spans="4:6" ht="12.75">
      <c r="D87" t="s">
        <v>120</v>
      </c>
      <c r="E87">
        <v>62868</v>
      </c>
      <c r="F87" s="22">
        <f t="shared" si="1"/>
        <v>44.699148</v>
      </c>
    </row>
    <row r="88" spans="4:6" ht="12.75">
      <c r="D88" t="s">
        <v>121</v>
      </c>
      <c r="E88">
        <v>51931</v>
      </c>
      <c r="F88" s="22">
        <f t="shared" si="1"/>
        <v>36.922941</v>
      </c>
    </row>
    <row r="89" spans="4:6" ht="12.75">
      <c r="D89" t="s">
        <v>122</v>
      </c>
      <c r="E89">
        <v>20018</v>
      </c>
      <c r="F89" s="22">
        <f t="shared" si="1"/>
        <v>14.232797999999999</v>
      </c>
    </row>
    <row r="90" spans="4:6" ht="12.75">
      <c r="D90" t="s">
        <v>123</v>
      </c>
      <c r="E90">
        <v>42755</v>
      </c>
      <c r="F90" s="22">
        <f t="shared" si="1"/>
        <v>30.398805</v>
      </c>
    </row>
    <row r="91" spans="4:6" ht="12.75">
      <c r="D91" t="s">
        <v>124</v>
      </c>
      <c r="E91">
        <v>28129</v>
      </c>
      <c r="F91" s="22">
        <f t="shared" si="1"/>
        <v>19.999719</v>
      </c>
    </row>
    <row r="92" spans="4:6" ht="12.75">
      <c r="D92" t="s">
        <v>125</v>
      </c>
      <c r="E92">
        <v>104378</v>
      </c>
      <c r="F92" s="22">
        <f t="shared" si="1"/>
        <v>74.21275800000001</v>
      </c>
    </row>
    <row r="93" spans="4:6" ht="12.75">
      <c r="D93" t="s">
        <v>126</v>
      </c>
      <c r="E93">
        <v>254133</v>
      </c>
      <c r="F93" s="22">
        <f t="shared" si="1"/>
        <v>180.688563</v>
      </c>
    </row>
    <row r="94" spans="4:6" ht="12.75">
      <c r="D94" t="s">
        <v>127</v>
      </c>
      <c r="E94">
        <v>54588</v>
      </c>
      <c r="F94" s="22">
        <f t="shared" si="1"/>
        <v>38.812068</v>
      </c>
    </row>
    <row r="95" spans="4:6" ht="12.75">
      <c r="D95" t="s">
        <v>128</v>
      </c>
      <c r="E95">
        <v>42825</v>
      </c>
      <c r="F95" s="22">
        <f t="shared" si="1"/>
        <v>30.448574999999998</v>
      </c>
    </row>
    <row r="96" spans="4:6" ht="12.75">
      <c r="D96" t="s">
        <v>129</v>
      </c>
      <c r="E96">
        <v>19876</v>
      </c>
      <c r="F96" s="22">
        <f t="shared" si="1"/>
        <v>14.131836</v>
      </c>
    </row>
    <row r="97" spans="4:6" ht="12.75">
      <c r="D97" t="s">
        <v>130</v>
      </c>
      <c r="E97">
        <v>68809</v>
      </c>
      <c r="F97" s="22">
        <f t="shared" si="1"/>
        <v>48.923199000000004</v>
      </c>
    </row>
    <row r="98" spans="4:6" ht="12.75">
      <c r="D98" t="s">
        <v>131</v>
      </c>
      <c r="E98">
        <v>110858</v>
      </c>
      <c r="F98" s="22">
        <f t="shared" si="1"/>
        <v>78.820038</v>
      </c>
    </row>
    <row r="99" spans="4:6" ht="12.75">
      <c r="D99" t="s">
        <v>132</v>
      </c>
      <c r="E99">
        <v>24734</v>
      </c>
      <c r="F99" s="22">
        <f t="shared" si="1"/>
        <v>17.585874</v>
      </c>
    </row>
    <row r="100" spans="4:6" ht="12.75">
      <c r="D100" t="s">
        <v>133</v>
      </c>
      <c r="E100">
        <v>51861</v>
      </c>
      <c r="F100" s="22">
        <f t="shared" si="1"/>
        <v>36.87317099999999</v>
      </c>
    </row>
    <row r="101" spans="4:6" ht="12.75">
      <c r="D101" t="s">
        <v>134</v>
      </c>
      <c r="E101">
        <v>31748</v>
      </c>
      <c r="F101" s="22">
        <f t="shared" si="1"/>
        <v>22.572827999999998</v>
      </c>
    </row>
    <row r="102" spans="4:6" ht="12.75">
      <c r="D102" t="s">
        <v>135</v>
      </c>
      <c r="E102">
        <v>32626</v>
      </c>
      <c r="F102" s="22">
        <f t="shared" si="1"/>
        <v>23.197086</v>
      </c>
    </row>
    <row r="103" spans="4:6" ht="12.75">
      <c r="D103" t="s">
        <v>136</v>
      </c>
      <c r="E103">
        <v>38813</v>
      </c>
      <c r="F103" s="22">
        <f t="shared" si="1"/>
        <v>27.596042999999998</v>
      </c>
    </row>
    <row r="104" spans="4:6" ht="12.75">
      <c r="D104" t="s">
        <v>137</v>
      </c>
      <c r="E104">
        <v>297771</v>
      </c>
      <c r="F104" s="22">
        <f t="shared" si="1"/>
        <v>211.71518099999997</v>
      </c>
    </row>
    <row r="105" spans="4:6" ht="12.75">
      <c r="D105" t="s">
        <v>138</v>
      </c>
      <c r="E105">
        <v>181777</v>
      </c>
      <c r="F105" s="22">
        <f t="shared" si="1"/>
        <v>129.243447</v>
      </c>
    </row>
    <row r="106" spans="4:6" ht="12.75">
      <c r="D106" t="s">
        <v>139</v>
      </c>
      <c r="E106">
        <v>55816</v>
      </c>
      <c r="F106" s="22">
        <f t="shared" si="1"/>
        <v>39.685176</v>
      </c>
    </row>
    <row r="107" spans="4:6" ht="12.75">
      <c r="D107" t="s">
        <v>140</v>
      </c>
      <c r="E107">
        <v>13363</v>
      </c>
      <c r="F107" s="22">
        <f t="shared" si="1"/>
        <v>9.501093</v>
      </c>
    </row>
    <row r="108" spans="4:6" ht="12.75">
      <c r="D108" t="s">
        <v>141</v>
      </c>
      <c r="E108">
        <v>116865</v>
      </c>
      <c r="F108" s="22">
        <f t="shared" si="1"/>
        <v>83.091015</v>
      </c>
    </row>
    <row r="109" spans="4:6" ht="12.75">
      <c r="D109" t="s">
        <v>142</v>
      </c>
      <c r="E109">
        <v>448355</v>
      </c>
      <c r="F109" s="22">
        <f t="shared" si="1"/>
        <v>318.780405</v>
      </c>
    </row>
    <row r="110" spans="4:6" ht="12.75">
      <c r="D110" t="s">
        <v>143</v>
      </c>
      <c r="E110">
        <v>61728</v>
      </c>
      <c r="F110" s="22">
        <f t="shared" si="1"/>
        <v>43.888608</v>
      </c>
    </row>
    <row r="111" spans="4:6" ht="12.75">
      <c r="D111" t="s">
        <v>144</v>
      </c>
      <c r="E111">
        <v>150128</v>
      </c>
      <c r="F111" s="22">
        <f t="shared" si="1"/>
        <v>106.74100800000001</v>
      </c>
    </row>
    <row r="112" spans="4:6" ht="12.75">
      <c r="D112" t="s">
        <v>145</v>
      </c>
      <c r="E112">
        <v>99620</v>
      </c>
      <c r="F112" s="22">
        <f t="shared" si="1"/>
        <v>70.82982</v>
      </c>
    </row>
    <row r="113" spans="4:6" ht="12.75">
      <c r="D113" t="s">
        <v>146</v>
      </c>
      <c r="E113">
        <v>33045</v>
      </c>
      <c r="F113" s="22">
        <f t="shared" si="1"/>
        <v>23.494995</v>
      </c>
    </row>
    <row r="114" spans="4:6" ht="12.75">
      <c r="D114" t="s">
        <v>147</v>
      </c>
      <c r="E114">
        <v>93685</v>
      </c>
      <c r="F114" s="22">
        <f t="shared" si="1"/>
        <v>66.61003500000001</v>
      </c>
    </row>
    <row r="115" spans="4:6" ht="12.75">
      <c r="D115" t="s">
        <v>148</v>
      </c>
      <c r="E115">
        <v>104335</v>
      </c>
      <c r="F115" s="22">
        <f t="shared" si="1"/>
        <v>74.182185</v>
      </c>
    </row>
    <row r="116" spans="4:6" ht="12.75">
      <c r="D116" t="s">
        <v>149</v>
      </c>
      <c r="E116">
        <v>49383</v>
      </c>
      <c r="F116" s="22">
        <f t="shared" si="1"/>
        <v>35.111313</v>
      </c>
    </row>
    <row r="117" spans="4:6" ht="12.75">
      <c r="D117" t="s">
        <v>150</v>
      </c>
      <c r="E117">
        <v>51340</v>
      </c>
      <c r="F117" s="22">
        <f t="shared" si="1"/>
        <v>36.502739999999996</v>
      </c>
    </row>
    <row r="118" spans="4:6" ht="12.75">
      <c r="D118" t="s">
        <v>151</v>
      </c>
      <c r="E118">
        <v>765171</v>
      </c>
      <c r="F118" s="22">
        <f t="shared" si="1"/>
        <v>544.036581</v>
      </c>
    </row>
    <row r="119" spans="4:6" ht="12.75">
      <c r="D119" t="s">
        <v>152</v>
      </c>
      <c r="E119">
        <v>116684</v>
      </c>
      <c r="F119" s="22">
        <f t="shared" si="1"/>
        <v>82.962324</v>
      </c>
    </row>
    <row r="120" spans="4:6" ht="12.75">
      <c r="D120" t="s">
        <v>153</v>
      </c>
      <c r="E120">
        <v>17550</v>
      </c>
      <c r="F120" s="22">
        <f t="shared" si="1"/>
        <v>12.47805</v>
      </c>
    </row>
    <row r="121" spans="4:6" ht="12.75">
      <c r="D121" t="s">
        <v>154</v>
      </c>
      <c r="E121">
        <v>71954</v>
      </c>
      <c r="F121" s="22">
        <f t="shared" si="1"/>
        <v>51.159293999999996</v>
      </c>
    </row>
    <row r="122" spans="4:6" ht="12.75">
      <c r="D122" t="s">
        <v>155</v>
      </c>
      <c r="E122">
        <v>35438</v>
      </c>
      <c r="F122" s="22">
        <f t="shared" si="1"/>
        <v>25.196417999999998</v>
      </c>
    </row>
    <row r="123" spans="4:6" ht="12.75">
      <c r="D123" t="s">
        <v>156</v>
      </c>
      <c r="E123">
        <v>89056</v>
      </c>
      <c r="F123" s="22">
        <f t="shared" si="1"/>
        <v>63.318816</v>
      </c>
    </row>
    <row r="124" spans="4:6" ht="12.75">
      <c r="D124" t="s">
        <v>157</v>
      </c>
      <c r="E124">
        <v>93973</v>
      </c>
      <c r="F124" s="22">
        <f t="shared" si="1"/>
        <v>66.814803</v>
      </c>
    </row>
    <row r="125" spans="4:6" ht="12.75">
      <c r="D125" t="s">
        <v>158</v>
      </c>
      <c r="E125">
        <v>66559</v>
      </c>
      <c r="F125" s="22">
        <f t="shared" si="1"/>
        <v>47.323449000000004</v>
      </c>
    </row>
    <row r="126" spans="4:6" ht="12.75">
      <c r="D126" t="s">
        <v>159</v>
      </c>
      <c r="E126">
        <v>127562</v>
      </c>
      <c r="F126" s="22">
        <f t="shared" si="1"/>
        <v>90.69658199999999</v>
      </c>
    </row>
    <row r="127" spans="4:6" ht="12.75">
      <c r="D127" t="s">
        <v>160</v>
      </c>
      <c r="E127">
        <v>57526</v>
      </c>
      <c r="F127" s="22">
        <f t="shared" si="1"/>
        <v>40.900985999999996</v>
      </c>
    </row>
    <row r="128" spans="4:6" ht="12.75">
      <c r="D128" t="s">
        <v>161</v>
      </c>
      <c r="E128">
        <v>30526</v>
      </c>
      <c r="F128" s="22">
        <f t="shared" si="1"/>
        <v>21.703985999999997</v>
      </c>
    </row>
    <row r="129" spans="4:6" ht="12.75">
      <c r="D129" t="s">
        <v>162</v>
      </c>
      <c r="E129">
        <v>67775</v>
      </c>
      <c r="F129" s="22">
        <f t="shared" si="1"/>
        <v>48.188024999999996</v>
      </c>
    </row>
    <row r="130" spans="4:6" ht="12.75">
      <c r="D130" t="s">
        <v>163</v>
      </c>
      <c r="E130">
        <v>738057</v>
      </c>
      <c r="F130" s="22">
        <f t="shared" si="1"/>
        <v>524.758527</v>
      </c>
    </row>
    <row r="131" spans="4:6" ht="12.75">
      <c r="D131" t="s">
        <v>164</v>
      </c>
      <c r="E131">
        <v>94731</v>
      </c>
      <c r="F131" s="22">
        <f t="shared" si="1"/>
        <v>67.353741</v>
      </c>
    </row>
    <row r="132" spans="4:6" ht="12.75">
      <c r="D132" t="s">
        <v>165</v>
      </c>
      <c r="E132">
        <v>258747</v>
      </c>
      <c r="F132" s="22">
        <f t="shared" si="1"/>
        <v>183.969117</v>
      </c>
    </row>
    <row r="133" spans="4:6" ht="12.75">
      <c r="D133" t="s">
        <v>166</v>
      </c>
      <c r="E133">
        <v>6954583</v>
      </c>
      <c r="F133" s="22">
        <f t="shared" si="1"/>
        <v>4944.708513</v>
      </c>
    </row>
    <row r="134" spans="4:6" ht="12.75">
      <c r="D134" t="s">
        <v>167</v>
      </c>
      <c r="E134">
        <v>137689</v>
      </c>
      <c r="F134" s="22">
        <f t="shared" si="1"/>
        <v>97.896879</v>
      </c>
    </row>
    <row r="135" spans="4:6" ht="12.75">
      <c r="D135" t="s">
        <v>168</v>
      </c>
      <c r="E135">
        <v>9618</v>
      </c>
      <c r="F135" s="22">
        <f aca="true" t="shared" si="2" ref="F135:F198">+E135*$E$2/1000</f>
        <v>6.838397999999999</v>
      </c>
    </row>
    <row r="136" spans="4:6" ht="12.75">
      <c r="D136" t="s">
        <v>169</v>
      </c>
      <c r="E136">
        <v>13369</v>
      </c>
      <c r="F136" s="22">
        <f t="shared" si="2"/>
        <v>9.505359</v>
      </c>
    </row>
    <row r="137" spans="4:6" ht="12.75">
      <c r="D137" t="s">
        <v>170</v>
      </c>
      <c r="E137">
        <v>191409</v>
      </c>
      <c r="F137" s="22">
        <f t="shared" si="2"/>
        <v>136.091799</v>
      </c>
    </row>
    <row r="138" spans="4:6" ht="12.75">
      <c r="D138" t="s">
        <v>171</v>
      </c>
      <c r="E138">
        <v>160894</v>
      </c>
      <c r="F138" s="22">
        <f t="shared" si="2"/>
        <v>114.39563399999999</v>
      </c>
    </row>
    <row r="139" spans="4:6" ht="12.75">
      <c r="D139" t="s">
        <v>172</v>
      </c>
      <c r="E139">
        <v>62342</v>
      </c>
      <c r="F139" s="22">
        <f t="shared" si="2"/>
        <v>44.325162</v>
      </c>
    </row>
    <row r="140" spans="4:6" ht="12.75">
      <c r="D140" t="s">
        <v>173</v>
      </c>
      <c r="E140">
        <v>193977</v>
      </c>
      <c r="F140" s="22">
        <f t="shared" si="2"/>
        <v>137.917647</v>
      </c>
    </row>
    <row r="141" spans="4:6" ht="12.75">
      <c r="D141" t="s">
        <v>174</v>
      </c>
      <c r="E141">
        <v>17425</v>
      </c>
      <c r="F141" s="22">
        <f t="shared" si="2"/>
        <v>12.389175</v>
      </c>
    </row>
    <row r="142" spans="4:6" ht="12.75">
      <c r="D142" t="s">
        <v>175</v>
      </c>
      <c r="E142">
        <v>25325</v>
      </c>
      <c r="F142" s="22">
        <f t="shared" si="2"/>
        <v>18.006075</v>
      </c>
    </row>
    <row r="143" spans="4:6" ht="12.75">
      <c r="D143" t="s">
        <v>176</v>
      </c>
      <c r="E143">
        <v>52805</v>
      </c>
      <c r="F143" s="22">
        <f t="shared" si="2"/>
        <v>37.544354999999996</v>
      </c>
    </row>
    <row r="144" spans="4:6" ht="12.75">
      <c r="D144" t="s">
        <v>177</v>
      </c>
      <c r="E144">
        <v>488359</v>
      </c>
      <c r="F144" s="22">
        <f t="shared" si="2"/>
        <v>347.223249</v>
      </c>
    </row>
    <row r="145" spans="4:6" ht="12.75">
      <c r="D145" t="s">
        <v>178</v>
      </c>
      <c r="E145">
        <v>101996</v>
      </c>
      <c r="F145" s="22">
        <f t="shared" si="2"/>
        <v>72.51915600000001</v>
      </c>
    </row>
    <row r="146" spans="4:6" ht="12.75">
      <c r="D146" t="s">
        <v>179</v>
      </c>
      <c r="E146">
        <v>63515</v>
      </c>
      <c r="F146" s="22">
        <f t="shared" si="2"/>
        <v>45.159165</v>
      </c>
    </row>
    <row r="147" spans="4:6" ht="12.75">
      <c r="D147" t="s">
        <v>180</v>
      </c>
      <c r="E147">
        <v>55294</v>
      </c>
      <c r="F147" s="22">
        <f t="shared" si="2"/>
        <v>39.314034</v>
      </c>
    </row>
    <row r="148" spans="4:6" ht="12.75">
      <c r="D148" t="s">
        <v>181</v>
      </c>
      <c r="E148">
        <v>67927</v>
      </c>
      <c r="F148" s="22">
        <f t="shared" si="2"/>
        <v>48.296096999999996</v>
      </c>
    </row>
    <row r="149" spans="4:6" ht="12.75">
      <c r="D149" t="s">
        <v>182</v>
      </c>
      <c r="E149">
        <v>57669</v>
      </c>
      <c r="F149" s="22">
        <f t="shared" si="2"/>
        <v>41.002659</v>
      </c>
    </row>
    <row r="150" spans="4:6" ht="12.75">
      <c r="D150" t="s">
        <v>183</v>
      </c>
      <c r="E150">
        <v>49384</v>
      </c>
      <c r="F150" s="22">
        <f t="shared" si="2"/>
        <v>35.112024</v>
      </c>
    </row>
    <row r="151" spans="4:6" ht="12.75">
      <c r="D151" t="s">
        <v>184</v>
      </c>
      <c r="E151">
        <v>67298</v>
      </c>
      <c r="F151" s="22">
        <f t="shared" si="2"/>
        <v>47.848878</v>
      </c>
    </row>
    <row r="152" spans="4:6" ht="12.75">
      <c r="D152" t="s">
        <v>185</v>
      </c>
      <c r="E152">
        <v>17297</v>
      </c>
      <c r="F152" s="22">
        <f t="shared" si="2"/>
        <v>12.298167</v>
      </c>
    </row>
    <row r="153" spans="4:6" ht="12.75">
      <c r="D153" t="s">
        <v>186</v>
      </c>
      <c r="E153">
        <v>7429</v>
      </c>
      <c r="F153" s="22">
        <f t="shared" si="2"/>
        <v>5.282018999999999</v>
      </c>
    </row>
    <row r="154" spans="4:6" ht="12.75">
      <c r="D154" t="s">
        <v>187</v>
      </c>
      <c r="E154">
        <v>70460</v>
      </c>
      <c r="F154" s="22">
        <f t="shared" si="2"/>
        <v>50.09706</v>
      </c>
    </row>
    <row r="155" spans="4:6" ht="12.75">
      <c r="D155" t="s">
        <v>188</v>
      </c>
      <c r="E155">
        <v>25809</v>
      </c>
      <c r="F155" s="22">
        <f t="shared" si="2"/>
        <v>18.350199</v>
      </c>
    </row>
    <row r="156" spans="4:6" ht="12.75">
      <c r="D156" t="s">
        <v>189</v>
      </c>
      <c r="E156">
        <v>63037</v>
      </c>
      <c r="F156" s="22">
        <f t="shared" si="2"/>
        <v>44.819307</v>
      </c>
    </row>
    <row r="157" spans="4:6" ht="12.75">
      <c r="D157" t="s">
        <v>190</v>
      </c>
      <c r="E157">
        <v>147126</v>
      </c>
      <c r="F157" s="22">
        <f t="shared" si="2"/>
        <v>104.606586</v>
      </c>
    </row>
    <row r="158" spans="4:6" ht="12.75">
      <c r="D158" t="s">
        <v>191</v>
      </c>
      <c r="E158">
        <v>41530</v>
      </c>
      <c r="F158" s="22">
        <f t="shared" si="2"/>
        <v>29.527829999999998</v>
      </c>
    </row>
    <row r="159" spans="4:6" ht="12.75">
      <c r="D159" t="s">
        <v>192</v>
      </c>
      <c r="E159">
        <v>78108</v>
      </c>
      <c r="F159" s="22">
        <f t="shared" si="2"/>
        <v>55.534788</v>
      </c>
    </row>
    <row r="160" spans="4:6" ht="12.75">
      <c r="D160" t="s">
        <v>193</v>
      </c>
      <c r="E160">
        <v>642428</v>
      </c>
      <c r="F160" s="22">
        <f t="shared" si="2"/>
        <v>456.766308</v>
      </c>
    </row>
    <row r="161" spans="4:6" ht="12.75">
      <c r="D161" t="s">
        <v>194</v>
      </c>
      <c r="E161">
        <v>138245</v>
      </c>
      <c r="F161" s="22">
        <f t="shared" si="2"/>
        <v>98.29219499999999</v>
      </c>
    </row>
    <row r="162" spans="4:6" ht="12.75">
      <c r="D162" t="s">
        <v>195</v>
      </c>
      <c r="E162">
        <v>123456</v>
      </c>
      <c r="F162" s="22">
        <f t="shared" si="2"/>
        <v>87.777216</v>
      </c>
    </row>
    <row r="163" spans="4:6" ht="12.75">
      <c r="D163" t="s">
        <v>196</v>
      </c>
      <c r="E163">
        <v>163181</v>
      </c>
      <c r="F163" s="22">
        <f t="shared" si="2"/>
        <v>116.02169099999999</v>
      </c>
    </row>
    <row r="164" spans="4:6" ht="12.75">
      <c r="D164" t="s">
        <v>197</v>
      </c>
      <c r="E164">
        <v>105151</v>
      </c>
      <c r="F164" s="22">
        <f t="shared" si="2"/>
        <v>74.76236099999998</v>
      </c>
    </row>
    <row r="165" spans="4:6" ht="12.75">
      <c r="D165" t="s">
        <v>198</v>
      </c>
      <c r="E165">
        <v>277994</v>
      </c>
      <c r="F165" s="22">
        <f t="shared" si="2"/>
        <v>197.653734</v>
      </c>
    </row>
    <row r="166" spans="4:6" ht="12.75">
      <c r="D166" t="s">
        <v>199</v>
      </c>
      <c r="E166">
        <v>122162</v>
      </c>
      <c r="F166" s="22">
        <f t="shared" si="2"/>
        <v>86.857182</v>
      </c>
    </row>
    <row r="167" spans="4:6" ht="12.75">
      <c r="D167" t="s">
        <v>200</v>
      </c>
      <c r="E167">
        <v>58155</v>
      </c>
      <c r="F167" s="22">
        <f t="shared" si="2"/>
        <v>41.34820499999999</v>
      </c>
    </row>
    <row r="168" spans="4:6" ht="12.75">
      <c r="D168" t="s">
        <v>201</v>
      </c>
      <c r="E168">
        <v>222897</v>
      </c>
      <c r="F168" s="22">
        <f t="shared" si="2"/>
        <v>158.47976699999998</v>
      </c>
    </row>
    <row r="169" spans="4:6" ht="12.75">
      <c r="D169" t="s">
        <v>202</v>
      </c>
      <c r="E169">
        <v>136523</v>
      </c>
      <c r="F169" s="22">
        <f t="shared" si="2"/>
        <v>97.06785299999999</v>
      </c>
    </row>
    <row r="170" spans="4:6" ht="12.75">
      <c r="D170" t="s">
        <v>203</v>
      </c>
      <c r="E170">
        <v>66316</v>
      </c>
      <c r="F170" s="22">
        <f t="shared" si="2"/>
        <v>47.150676</v>
      </c>
    </row>
    <row r="171" spans="4:6" ht="12.75">
      <c r="D171" t="s">
        <v>204</v>
      </c>
      <c r="E171">
        <v>110083</v>
      </c>
      <c r="F171" s="22">
        <f t="shared" si="2"/>
        <v>78.26901299999999</v>
      </c>
    </row>
    <row r="172" spans="4:6" ht="12.75">
      <c r="D172" t="s">
        <v>205</v>
      </c>
      <c r="E172">
        <v>76749</v>
      </c>
      <c r="F172" s="22">
        <f t="shared" si="2"/>
        <v>54.568538999999994</v>
      </c>
    </row>
    <row r="173" spans="4:6" ht="12.75">
      <c r="D173" t="s">
        <v>206</v>
      </c>
      <c r="E173">
        <v>74542</v>
      </c>
      <c r="F173" s="22">
        <f t="shared" si="2"/>
        <v>52.999362</v>
      </c>
    </row>
    <row r="174" spans="4:6" ht="12.75">
      <c r="D174" t="s">
        <v>207</v>
      </c>
      <c r="E174">
        <v>48239</v>
      </c>
      <c r="F174" s="22">
        <f t="shared" si="2"/>
        <v>34.297928999999996</v>
      </c>
    </row>
    <row r="175" spans="4:6" ht="12.75">
      <c r="D175" t="s">
        <v>208</v>
      </c>
      <c r="E175">
        <v>84739</v>
      </c>
      <c r="F175" s="22">
        <f t="shared" si="2"/>
        <v>60.249429</v>
      </c>
    </row>
    <row r="176" spans="4:6" ht="12.75">
      <c r="D176" t="s">
        <v>209</v>
      </c>
      <c r="E176">
        <v>28149</v>
      </c>
      <c r="F176" s="22">
        <f t="shared" si="2"/>
        <v>20.013938999999997</v>
      </c>
    </row>
    <row r="177" spans="4:6" ht="12.75">
      <c r="D177" t="s">
        <v>210</v>
      </c>
      <c r="E177">
        <v>44853</v>
      </c>
      <c r="F177" s="22">
        <f t="shared" si="2"/>
        <v>31.890483</v>
      </c>
    </row>
    <row r="178" spans="4:6" ht="12.75">
      <c r="D178" t="s">
        <v>211</v>
      </c>
      <c r="E178">
        <v>236315</v>
      </c>
      <c r="F178" s="22">
        <f t="shared" si="2"/>
        <v>168.01996499999998</v>
      </c>
    </row>
    <row r="179" spans="4:6" ht="12.75">
      <c r="D179" t="s">
        <v>212</v>
      </c>
      <c r="E179">
        <v>65431</v>
      </c>
      <c r="F179" s="22">
        <f t="shared" si="2"/>
        <v>46.521440999999996</v>
      </c>
    </row>
    <row r="180" spans="4:6" ht="12.75">
      <c r="D180" t="s">
        <v>213</v>
      </c>
      <c r="E180">
        <v>50672</v>
      </c>
      <c r="F180" s="22">
        <f t="shared" si="2"/>
        <v>36.027792</v>
      </c>
    </row>
    <row r="181" spans="4:6" ht="12.75">
      <c r="D181" t="s">
        <v>214</v>
      </c>
      <c r="E181">
        <v>104308</v>
      </c>
      <c r="F181" s="22">
        <f t="shared" si="2"/>
        <v>74.162988</v>
      </c>
    </row>
    <row r="182" spans="4:6" ht="12.75">
      <c r="D182" t="s">
        <v>215</v>
      </c>
      <c r="E182">
        <v>46049</v>
      </c>
      <c r="F182" s="22">
        <f t="shared" si="2"/>
        <v>32.740839</v>
      </c>
    </row>
    <row r="183" spans="4:6" ht="12.75">
      <c r="D183" t="s">
        <v>216</v>
      </c>
      <c r="E183">
        <v>31116</v>
      </c>
      <c r="F183" s="22">
        <f t="shared" si="2"/>
        <v>22.123476</v>
      </c>
    </row>
    <row r="184" spans="4:6" ht="12.75">
      <c r="D184" t="s">
        <v>217</v>
      </c>
      <c r="E184">
        <v>22193</v>
      </c>
      <c r="F184" s="22">
        <f t="shared" si="2"/>
        <v>15.779223</v>
      </c>
    </row>
    <row r="185" spans="4:6" ht="12.75">
      <c r="D185" t="s">
        <v>218</v>
      </c>
      <c r="E185">
        <v>74771</v>
      </c>
      <c r="F185" s="22">
        <f t="shared" si="2"/>
        <v>53.162181</v>
      </c>
    </row>
    <row r="186" spans="4:6" ht="12.75">
      <c r="D186" t="s">
        <v>219</v>
      </c>
      <c r="E186">
        <v>48528</v>
      </c>
      <c r="F186" s="22">
        <f t="shared" si="2"/>
        <v>34.50340799999999</v>
      </c>
    </row>
    <row r="187" spans="4:6" ht="12.75">
      <c r="D187" t="s">
        <v>220</v>
      </c>
      <c r="E187">
        <v>35515</v>
      </c>
      <c r="F187" s="22">
        <f t="shared" si="2"/>
        <v>25.251164999999997</v>
      </c>
    </row>
    <row r="188" spans="4:6" ht="12.75">
      <c r="D188" t="s">
        <v>221</v>
      </c>
      <c r="E188">
        <v>94877</v>
      </c>
      <c r="F188" s="22">
        <f t="shared" si="2"/>
        <v>67.45754699999999</v>
      </c>
    </row>
    <row r="189" spans="4:6" ht="12.75">
      <c r="D189" t="s">
        <v>222</v>
      </c>
      <c r="E189">
        <v>147893</v>
      </c>
      <c r="F189" s="22">
        <f t="shared" si="2"/>
        <v>105.151923</v>
      </c>
    </row>
    <row r="190" spans="4:6" ht="12.75">
      <c r="D190" t="s">
        <v>223</v>
      </c>
      <c r="E190">
        <v>64723</v>
      </c>
      <c r="F190" s="22">
        <f t="shared" si="2"/>
        <v>46.018053</v>
      </c>
    </row>
    <row r="191" spans="4:6" ht="12.75">
      <c r="D191" t="s">
        <v>224</v>
      </c>
      <c r="E191">
        <v>250509</v>
      </c>
      <c r="F191" s="22">
        <f t="shared" si="2"/>
        <v>178.111899</v>
      </c>
    </row>
    <row r="192" spans="4:6" ht="12.75">
      <c r="D192" t="s">
        <v>225</v>
      </c>
      <c r="E192">
        <v>8543</v>
      </c>
      <c r="F192" s="22">
        <f t="shared" si="2"/>
        <v>6.074072999999999</v>
      </c>
    </row>
    <row r="193" spans="4:6" ht="12.75">
      <c r="D193" t="s">
        <v>226</v>
      </c>
      <c r="E193">
        <v>8814</v>
      </c>
      <c r="F193" s="22">
        <f t="shared" si="2"/>
        <v>6.266754</v>
      </c>
    </row>
    <row r="194" spans="4:6" ht="12.75">
      <c r="D194" t="s">
        <v>227</v>
      </c>
      <c r="E194">
        <v>6630</v>
      </c>
      <c r="F194" s="22">
        <f t="shared" si="2"/>
        <v>4.7139299999999995</v>
      </c>
    </row>
    <row r="195" spans="4:6" ht="12.75">
      <c r="D195" t="s">
        <v>228</v>
      </c>
      <c r="E195">
        <v>139073</v>
      </c>
      <c r="F195" s="22">
        <f t="shared" si="2"/>
        <v>98.88090299999999</v>
      </c>
    </row>
    <row r="196" spans="4:6" ht="12.75">
      <c r="D196" t="s">
        <v>229</v>
      </c>
      <c r="E196">
        <v>15971</v>
      </c>
      <c r="F196" s="22">
        <f t="shared" si="2"/>
        <v>11.355381</v>
      </c>
    </row>
    <row r="197" spans="4:6" ht="12.75">
      <c r="D197" t="s">
        <v>230</v>
      </c>
      <c r="E197">
        <v>36669</v>
      </c>
      <c r="F197" s="22">
        <f t="shared" si="2"/>
        <v>26.071659</v>
      </c>
    </row>
    <row r="198" spans="4:6" ht="12.75">
      <c r="D198" t="s">
        <v>231</v>
      </c>
      <c r="E198">
        <v>316546</v>
      </c>
      <c r="F198" s="22">
        <f t="shared" si="2"/>
        <v>225.06420599999998</v>
      </c>
    </row>
    <row r="199" spans="4:6" ht="12.75">
      <c r="D199" t="s">
        <v>232</v>
      </c>
      <c r="E199">
        <v>38104</v>
      </c>
      <c r="F199" s="22">
        <f>+E199*$E$2/1000</f>
        <v>27.091943999999998</v>
      </c>
    </row>
    <row r="200" spans="4:6" ht="12.75">
      <c r="D200" t="s">
        <v>233</v>
      </c>
      <c r="E200">
        <v>44310</v>
      </c>
      <c r="F200" s="22">
        <f>+E200*$E$2/1000</f>
        <v>31.50441</v>
      </c>
    </row>
    <row r="201" spans="4:6" ht="12.75">
      <c r="D201" t="s">
        <v>234</v>
      </c>
      <c r="E201">
        <v>3485</v>
      </c>
      <c r="F201" s="22">
        <f>+E201*$E$2/1000</f>
        <v>2.4778350000000002</v>
      </c>
    </row>
    <row r="202" spans="4:6" ht="12.75">
      <c r="D202" s="20" t="s">
        <v>237</v>
      </c>
      <c r="E202" s="21">
        <f>SUM(E6:E201)</f>
        <v>26152265</v>
      </c>
      <c r="F202" s="23">
        <f>SUM(F6:F201)</f>
        <v>18594.260415000015</v>
      </c>
    </row>
  </sheetData>
  <sheetProtection/>
  <autoFilter ref="D5:F202"/>
  <printOptions/>
  <pageMargins left="0.75" right="0.75" top="1" bottom="1" header="0" footer="0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6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187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PIGARS'!E28</f>
        <v>36.6392</v>
      </c>
      <c r="D15" s="47">
        <f aca="true" t="shared" si="0" ref="D15:D35">+C15*365</f>
        <v>13373.308</v>
      </c>
      <c r="E15" s="47">
        <f>2*$C$3*$C$4*D15*EXP(-1*$C$3*A15)</f>
        <v>43329.517920000006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37.55518</v>
      </c>
      <c r="D16" s="47">
        <f t="shared" si="0"/>
        <v>13707.6407</v>
      </c>
      <c r="E16" s="47">
        <f aca="true" t="shared" si="7" ref="E16:E35">2*$C$3*$C$4*D16*EXP(-1*$C$3*A16)+E15</f>
        <v>86862.8422997104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38.4940595</v>
      </c>
      <c r="D17" s="47">
        <f t="shared" si="0"/>
        <v>14050.3317175</v>
      </c>
      <c r="E17" s="47">
        <f t="shared" si="7"/>
        <v>130600.93177137579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39.45641098749999</v>
      </c>
      <c r="D18" s="47">
        <f t="shared" si="0"/>
        <v>14401.590010437498</v>
      </c>
      <c r="E18" s="47">
        <f t="shared" si="7"/>
        <v>174544.74947630183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40.442821262187486</v>
      </c>
      <c r="D19" s="47">
        <f t="shared" si="0"/>
        <v>14761.629760698432</v>
      </c>
      <c r="E19" s="47">
        <f t="shared" si="7"/>
        <v>218695.26308606428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41.45389179374217</v>
      </c>
      <c r="D20" s="47">
        <f t="shared" si="0"/>
        <v>15130.670504715894</v>
      </c>
      <c r="E20" s="47">
        <f t="shared" si="7"/>
        <v>263053.4448238178</v>
      </c>
      <c r="F20" s="47">
        <v>95</v>
      </c>
      <c r="G20" s="47">
        <f t="shared" si="1"/>
        <v>249900.77258262693</v>
      </c>
      <c r="H20" s="47">
        <f t="shared" si="2"/>
        <v>28.527485454637777</v>
      </c>
      <c r="I20" s="48">
        <f t="shared" si="3"/>
        <v>87.67518705288883</v>
      </c>
      <c r="J20" s="49">
        <f t="shared" si="4"/>
        <v>4.383759352644442</v>
      </c>
      <c r="K20" s="47">
        <f t="shared" si="5"/>
        <v>1749.119981705132</v>
      </c>
    </row>
    <row r="21" spans="1:11" ht="12">
      <c r="A21" s="42">
        <v>6</v>
      </c>
      <c r="B21" s="45">
        <v>2013</v>
      </c>
      <c r="C21" s="46">
        <f t="shared" si="6"/>
        <v>42.490239088585724</v>
      </c>
      <c r="D21" s="47">
        <f t="shared" si="0"/>
        <v>15508.93726733379</v>
      </c>
      <c r="E21" s="47">
        <f t="shared" si="7"/>
        <v>307620.2714857049</v>
      </c>
      <c r="F21" s="47">
        <v>95</v>
      </c>
      <c r="G21" s="47">
        <f t="shared" si="1"/>
        <v>292239.25791141967</v>
      </c>
      <c r="H21" s="47">
        <f t="shared" si="2"/>
        <v>33.360645880299046</v>
      </c>
      <c r="I21" s="48">
        <f t="shared" si="3"/>
        <v>102.52922124564246</v>
      </c>
      <c r="J21" s="49">
        <f t="shared" si="4"/>
        <v>5.126461062282123</v>
      </c>
      <c r="K21" s="47">
        <f t="shared" si="5"/>
        <v>2045.4579638505672</v>
      </c>
    </row>
    <row r="22" spans="1:11" ht="12">
      <c r="A22" s="42">
        <v>7</v>
      </c>
      <c r="B22" s="45">
        <v>2014</v>
      </c>
      <c r="C22" s="46">
        <f t="shared" si="6"/>
        <v>43.552495065800365</v>
      </c>
      <c r="D22" s="47">
        <f t="shared" si="0"/>
        <v>15896.660699017133</v>
      </c>
      <c r="E22" s="47">
        <f t="shared" si="7"/>
        <v>352396.7244623656</v>
      </c>
      <c r="F22" s="47">
        <v>95</v>
      </c>
      <c r="G22" s="47">
        <f t="shared" si="1"/>
        <v>334776.8882392474</v>
      </c>
      <c r="H22" s="47">
        <f t="shared" si="2"/>
        <v>38.21653975333874</v>
      </c>
      <c r="I22" s="48">
        <f t="shared" si="3"/>
        <v>117.45312346985753</v>
      </c>
      <c r="J22" s="49">
        <f t="shared" si="4"/>
        <v>5.872656173492877</v>
      </c>
      <c r="K22" s="47">
        <f t="shared" si="5"/>
        <v>2343.189813223658</v>
      </c>
    </row>
    <row r="23" spans="1:11" ht="12">
      <c r="A23" s="42">
        <v>8</v>
      </c>
      <c r="B23" s="45">
        <v>2015</v>
      </c>
      <c r="C23" s="46">
        <f t="shared" si="6"/>
        <v>44.64130744244537</v>
      </c>
      <c r="D23" s="47">
        <f t="shared" si="0"/>
        <v>16294.077216492558</v>
      </c>
      <c r="E23" s="47">
        <f t="shared" si="7"/>
        <v>397383.7897605484</v>
      </c>
      <c r="F23" s="47">
        <v>95</v>
      </c>
      <c r="G23" s="47">
        <f t="shared" si="1"/>
        <v>377514.600272521</v>
      </c>
      <c r="H23" s="47">
        <f t="shared" si="2"/>
        <v>43.09527400371245</v>
      </c>
      <c r="I23" s="48">
        <f t="shared" si="3"/>
        <v>132.44722235961126</v>
      </c>
      <c r="J23" s="49">
        <f t="shared" si="4"/>
        <v>6.622361117980564</v>
      </c>
      <c r="K23" s="47">
        <f t="shared" si="5"/>
        <v>2642.322086074245</v>
      </c>
    </row>
    <row r="24" spans="1:11" ht="12">
      <c r="A24" s="42">
        <v>9</v>
      </c>
      <c r="B24" s="45">
        <v>2016</v>
      </c>
      <c r="C24" s="46">
        <f t="shared" si="6"/>
        <v>45.7573401285065</v>
      </c>
      <c r="D24" s="47">
        <f t="shared" si="0"/>
        <v>16701.429146904873</v>
      </c>
      <c r="E24" s="47">
        <f t="shared" si="7"/>
        <v>442582.4580248226</v>
      </c>
      <c r="F24" s="47">
        <v>95</v>
      </c>
      <c r="G24" s="47">
        <f t="shared" si="1"/>
        <v>420453.33512358146</v>
      </c>
      <c r="H24" s="47">
        <f t="shared" si="2"/>
        <v>47.996956064335784</v>
      </c>
      <c r="I24" s="48">
        <f t="shared" si="3"/>
        <v>147.5118480947573</v>
      </c>
      <c r="J24" s="49">
        <f t="shared" si="4"/>
        <v>7.375592404737866</v>
      </c>
      <c r="K24" s="47">
        <f t="shared" si="5"/>
        <v>2942.8613694904084</v>
      </c>
    </row>
    <row r="25" spans="1:11" ht="12">
      <c r="A25" s="42">
        <v>10</v>
      </c>
      <c r="B25" s="45">
        <v>2017</v>
      </c>
      <c r="C25" s="46">
        <f t="shared" si="6"/>
        <v>46.90127363171916</v>
      </c>
      <c r="D25" s="47">
        <f t="shared" si="0"/>
        <v>17118.96487557749</v>
      </c>
      <c r="E25" s="47">
        <f t="shared" si="7"/>
        <v>487993.72455939313</v>
      </c>
      <c r="F25" s="47">
        <v>95</v>
      </c>
      <c r="G25" s="47">
        <f t="shared" si="1"/>
        <v>463594.0383314235</v>
      </c>
      <c r="H25" s="47">
        <f t="shared" si="2"/>
        <v>52.92169387345017</v>
      </c>
      <c r="I25" s="48">
        <f t="shared" si="3"/>
        <v>162.6473324081966</v>
      </c>
      <c r="J25" s="49">
        <f t="shared" si="4"/>
        <v>8.132366620409831</v>
      </c>
      <c r="K25" s="47">
        <f t="shared" si="5"/>
        <v>3244.814281543522</v>
      </c>
    </row>
    <row r="26" spans="1:11" ht="12">
      <c r="A26" s="42">
        <v>11</v>
      </c>
      <c r="B26" s="45">
        <v>2018</v>
      </c>
      <c r="C26" s="46">
        <f t="shared" si="6"/>
        <v>48.073805472512134</v>
      </c>
      <c r="D26" s="47">
        <f t="shared" si="0"/>
        <v>17546.93899746693</v>
      </c>
      <c r="E26" s="47">
        <f t="shared" si="7"/>
        <v>533618.5893500177</v>
      </c>
      <c r="F26" s="47">
        <v>95</v>
      </c>
      <c r="G26" s="47">
        <f t="shared" si="1"/>
        <v>506937.65988251683</v>
      </c>
      <c r="H26" s="47">
        <f t="shared" si="2"/>
        <v>57.86959587699964</v>
      </c>
      <c r="I26" s="48">
        <f t="shared" si="3"/>
        <v>177.85400859318221</v>
      </c>
      <c r="J26" s="49">
        <f t="shared" si="4"/>
        <v>8.892700429659111</v>
      </c>
      <c r="K26" s="47">
        <f t="shared" si="5"/>
        <v>3548.1874714339856</v>
      </c>
    </row>
    <row r="27" spans="1:11" ht="12">
      <c r="A27" s="42">
        <v>12</v>
      </c>
      <c r="B27" s="45">
        <v>2019</v>
      </c>
      <c r="C27" s="46">
        <f t="shared" si="6"/>
        <v>49.275650609324934</v>
      </c>
      <c r="D27" s="47">
        <f t="shared" si="0"/>
        <v>17985.6124724036</v>
      </c>
      <c r="E27" s="47">
        <f t="shared" si="7"/>
        <v>579458.0570860273</v>
      </c>
      <c r="F27" s="47">
        <v>95</v>
      </c>
      <c r="G27" s="47">
        <f t="shared" si="1"/>
        <v>550485.154231726</v>
      </c>
      <c r="H27" s="47">
        <f t="shared" si="2"/>
        <v>62.840771031018946</v>
      </c>
      <c r="I27" s="48">
        <f t="shared" si="3"/>
        <v>193.13221151065872</v>
      </c>
      <c r="J27" s="49">
        <f t="shared" si="4"/>
        <v>9.656610575532937</v>
      </c>
      <c r="K27" s="47">
        <f t="shared" si="5"/>
        <v>3852.9876196376413</v>
      </c>
    </row>
    <row r="28" spans="1:11" ht="12">
      <c r="A28" s="42">
        <v>13</v>
      </c>
      <c r="B28" s="45">
        <v>2020</v>
      </c>
      <c r="C28" s="46">
        <f t="shared" si="6"/>
        <v>50.50754187455805</v>
      </c>
      <c r="D28" s="47">
        <f t="shared" si="0"/>
        <v>18435.252784213688</v>
      </c>
      <c r="E28" s="47">
        <f t="shared" si="7"/>
        <v>625513.1371824499</v>
      </c>
      <c r="F28" s="47">
        <v>95</v>
      </c>
      <c r="G28" s="47">
        <f t="shared" si="1"/>
        <v>594237.4803233274</v>
      </c>
      <c r="H28" s="47">
        <f t="shared" si="2"/>
        <v>67.8353288040328</v>
      </c>
      <c r="I28" s="48">
        <f t="shared" si="3"/>
        <v>208.48227759663615</v>
      </c>
      <c r="J28" s="49">
        <f t="shared" si="4"/>
        <v>10.424113879831808</v>
      </c>
      <c r="K28" s="47">
        <f t="shared" si="5"/>
        <v>4159.221438052891</v>
      </c>
    </row>
    <row r="29" spans="1:11" ht="12">
      <c r="A29" s="42">
        <v>14</v>
      </c>
      <c r="B29" s="45">
        <v>2021</v>
      </c>
      <c r="C29" s="46">
        <f t="shared" si="6"/>
        <v>51.770230421422</v>
      </c>
      <c r="D29" s="47">
        <f t="shared" si="0"/>
        <v>18896.13410381903</v>
      </c>
      <c r="E29" s="47">
        <f t="shared" si="7"/>
        <v>671784.8438022383</v>
      </c>
      <c r="F29" s="47">
        <v>95</v>
      </c>
      <c r="G29" s="47">
        <f t="shared" si="1"/>
        <v>638195.6016121265</v>
      </c>
      <c r="H29" s="47">
        <f t="shared" si="2"/>
        <v>72.85337917946649</v>
      </c>
      <c r="I29" s="48">
        <f t="shared" si="3"/>
        <v>223.90454486959842</v>
      </c>
      <c r="J29" s="49">
        <f t="shared" si="4"/>
        <v>11.195227243479922</v>
      </c>
      <c r="K29" s="47">
        <f t="shared" si="5"/>
        <v>4466.8956701484885</v>
      </c>
    </row>
    <row r="30" spans="1:11" ht="12">
      <c r="A30" s="42">
        <v>15</v>
      </c>
      <c r="B30" s="45">
        <v>2022</v>
      </c>
      <c r="C30" s="46">
        <f t="shared" si="6"/>
        <v>53.06448618195755</v>
      </c>
      <c r="D30" s="47">
        <f t="shared" si="0"/>
        <v>19368.537456414506</v>
      </c>
      <c r="E30" s="47">
        <f t="shared" si="7"/>
        <v>718274.1958786033</v>
      </c>
      <c r="F30" s="47">
        <v>95</v>
      </c>
      <c r="G30" s="47">
        <f t="shared" si="1"/>
        <v>682360.4860846731</v>
      </c>
      <c r="H30" s="47">
        <f t="shared" si="2"/>
        <v>77.8950326580677</v>
      </c>
      <c r="I30" s="48">
        <f t="shared" si="3"/>
        <v>239.39935293794667</v>
      </c>
      <c r="J30" s="49">
        <f t="shared" si="4"/>
        <v>11.969967646897334</v>
      </c>
      <c r="K30" s="47">
        <f t="shared" si="5"/>
        <v>4776.017091112036</v>
      </c>
    </row>
    <row r="31" spans="1:11" ht="12">
      <c r="A31" s="42">
        <v>16</v>
      </c>
      <c r="B31" s="45">
        <v>2023</v>
      </c>
      <c r="C31" s="46">
        <f t="shared" si="6"/>
        <v>54.39109833650648</v>
      </c>
      <c r="D31" s="47">
        <f t="shared" si="0"/>
        <v>19852.750892824864</v>
      </c>
      <c r="E31" s="47">
        <f t="shared" si="7"/>
        <v>764982.2171374505</v>
      </c>
      <c r="F31" s="47">
        <v>95</v>
      </c>
      <c r="G31" s="47">
        <f t="shared" si="1"/>
        <v>726733.106280578</v>
      </c>
      <c r="H31" s="47">
        <f t="shared" si="2"/>
        <v>82.96040026033995</v>
      </c>
      <c r="I31" s="48">
        <f t="shared" si="3"/>
        <v>254.9670430074779</v>
      </c>
      <c r="J31" s="49">
        <f t="shared" si="4"/>
        <v>12.748352150373897</v>
      </c>
      <c r="K31" s="47">
        <f t="shared" si="5"/>
        <v>5086.592507999184</v>
      </c>
    </row>
    <row r="32" spans="1:11" ht="12">
      <c r="A32" s="42">
        <v>17</v>
      </c>
      <c r="B32" s="45">
        <v>2024</v>
      </c>
      <c r="C32" s="46">
        <f t="shared" si="6"/>
        <v>55.75087579491914</v>
      </c>
      <c r="D32" s="47">
        <f t="shared" si="0"/>
        <v>20349.069665145485</v>
      </c>
      <c r="E32" s="47">
        <f t="shared" si="7"/>
        <v>811909.9361199238</v>
      </c>
      <c r="F32" s="47">
        <v>95</v>
      </c>
      <c r="G32" s="47">
        <f t="shared" si="1"/>
        <v>771314.4393139275</v>
      </c>
      <c r="H32" s="47">
        <f t="shared" si="2"/>
        <v>88.04959352898716</v>
      </c>
      <c r="I32" s="48">
        <f t="shared" si="3"/>
        <v>270.60795788889834</v>
      </c>
      <c r="J32" s="49">
        <f t="shared" si="4"/>
        <v>13.530397894444917</v>
      </c>
      <c r="K32" s="47">
        <f t="shared" si="5"/>
        <v>5398.6287598835215</v>
      </c>
    </row>
    <row r="33" spans="1:11" ht="12">
      <c r="A33" s="42">
        <v>18</v>
      </c>
      <c r="B33" s="45">
        <v>2025</v>
      </c>
      <c r="C33" s="46">
        <f t="shared" si="6"/>
        <v>57.144647689792116</v>
      </c>
      <c r="D33" s="47">
        <f t="shared" si="0"/>
        <v>20857.796406774123</v>
      </c>
      <c r="E33" s="47">
        <f t="shared" si="7"/>
        <v>859058.3862050548</v>
      </c>
      <c r="F33" s="47">
        <v>95</v>
      </c>
      <c r="G33" s="47">
        <f t="shared" si="1"/>
        <v>816105.4668948022</v>
      </c>
      <c r="H33" s="47">
        <f t="shared" si="2"/>
        <v>93.16272453137012</v>
      </c>
      <c r="I33" s="48">
        <f t="shared" si="3"/>
        <v>286.32244200537235</v>
      </c>
      <c r="J33" s="49">
        <f t="shared" si="4"/>
        <v>14.316122100268618</v>
      </c>
      <c r="K33" s="47">
        <f t="shared" si="5"/>
        <v>5712.1327180071785</v>
      </c>
    </row>
    <row r="34" spans="1:11" ht="12">
      <c r="A34" s="42">
        <v>19</v>
      </c>
      <c r="B34" s="45">
        <v>2026</v>
      </c>
      <c r="C34" s="46">
        <f t="shared" si="6"/>
        <v>58.57326388203691</v>
      </c>
      <c r="D34" s="47">
        <f t="shared" si="0"/>
        <v>21379.241316943473</v>
      </c>
      <c r="E34" s="47">
        <f t="shared" si="7"/>
        <v>906428.6056325178</v>
      </c>
      <c r="F34" s="47">
        <v>95</v>
      </c>
      <c r="G34" s="47">
        <f t="shared" si="1"/>
        <v>861107.1753508919</v>
      </c>
      <c r="H34" s="47">
        <f t="shared" si="2"/>
        <v>98.29990586197395</v>
      </c>
      <c r="I34" s="48">
        <f t="shared" si="3"/>
        <v>302.1108414001069</v>
      </c>
      <c r="J34" s="49">
        <f t="shared" si="4"/>
        <v>15.105542070005345</v>
      </c>
      <c r="K34" s="47">
        <f t="shared" si="5"/>
        <v>6027.111285932132</v>
      </c>
    </row>
    <row r="35" spans="1:11" ht="12">
      <c r="A35" s="42">
        <v>20</v>
      </c>
      <c r="B35" s="45">
        <v>2027</v>
      </c>
      <c r="C35" s="46">
        <f t="shared" si="6"/>
        <v>60.03759547908783</v>
      </c>
      <c r="D35" s="47">
        <f t="shared" si="0"/>
        <v>21913.722349867057</v>
      </c>
      <c r="E35" s="47">
        <f t="shared" si="7"/>
        <v>954021.6375254932</v>
      </c>
      <c r="F35" s="47">
        <v>95</v>
      </c>
      <c r="G35" s="47">
        <f t="shared" si="1"/>
        <v>906320.5556492186</v>
      </c>
      <c r="H35" s="47">
        <f t="shared" si="2"/>
        <v>103.46125064488797</v>
      </c>
      <c r="I35" s="48">
        <f t="shared" si="3"/>
        <v>317.97350374397183</v>
      </c>
      <c r="J35" s="49">
        <f t="shared" si="4"/>
        <v>15.898675187198592</v>
      </c>
      <c r="K35" s="47">
        <f t="shared" si="5"/>
        <v>6343.571399692238</v>
      </c>
    </row>
    <row r="36" spans="4:11" ht="12">
      <c r="D36" s="56">
        <f>SUM(D15:D35)</f>
        <v>363530.29634455044</v>
      </c>
      <c r="F36" s="50"/>
      <c r="J36" s="52" t="s">
        <v>258</v>
      </c>
      <c r="K36" s="53">
        <f>SUM(K15:K35)</f>
        <v>64339.11145778682</v>
      </c>
    </row>
  </sheetData>
  <sheetProtection/>
  <printOptions/>
  <pageMargins left="0.75" right="0.75" top="1" bottom="1" header="0" footer="0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1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179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PIGARS'!E29</f>
        <v>33.027800000000006</v>
      </c>
      <c r="D15" s="47">
        <f aca="true" t="shared" si="0" ref="D15:D35">+C15*365</f>
        <v>12055.147000000003</v>
      </c>
      <c r="E15" s="47">
        <f>2*$C$3*$C$4*D15*EXP(-1*$C$3*A15)</f>
        <v>39058.676280000014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33.853495</v>
      </c>
      <c r="D16" s="47">
        <f t="shared" si="0"/>
        <v>12356.525675</v>
      </c>
      <c r="E16" s="47">
        <f aca="true" t="shared" si="7" ref="E16:E35">2*$C$3*$C$4*D16*EXP(-1*$C$3*A16)+E15</f>
        <v>78301.07051754341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34.699832375</v>
      </c>
      <c r="D17" s="47">
        <f t="shared" si="0"/>
        <v>12665.438816875</v>
      </c>
      <c r="E17" s="47">
        <f t="shared" si="7"/>
        <v>117728.04685578961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35.56732818437499</v>
      </c>
      <c r="D18" s="47">
        <f t="shared" si="0"/>
        <v>12982.074787296873</v>
      </c>
      <c r="E18" s="47">
        <f t="shared" si="7"/>
        <v>157340.4735025165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36.45651138898437</v>
      </c>
      <c r="D19" s="47">
        <f t="shared" si="0"/>
        <v>13306.626656979293</v>
      </c>
      <c r="E19" s="47">
        <f t="shared" si="7"/>
        <v>197139.22274923895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37.36792417370897</v>
      </c>
      <c r="D20" s="47">
        <f t="shared" si="0"/>
        <v>13639.292323403775</v>
      </c>
      <c r="E20" s="47">
        <f t="shared" si="7"/>
        <v>237125.17099041713</v>
      </c>
      <c r="F20" s="47">
        <v>95</v>
      </c>
      <c r="G20" s="47">
        <f t="shared" si="1"/>
        <v>225268.91244089627</v>
      </c>
      <c r="H20" s="47">
        <f t="shared" si="2"/>
        <v>25.715629274074917</v>
      </c>
      <c r="I20" s="48">
        <f t="shared" si="3"/>
        <v>79.03334524076404</v>
      </c>
      <c r="J20" s="49">
        <f t="shared" si="4"/>
        <v>3.951667262038202</v>
      </c>
      <c r="K20" s="47">
        <f t="shared" si="5"/>
        <v>1576.7152375532426</v>
      </c>
    </row>
    <row r="21" spans="1:11" ht="12">
      <c r="A21" s="42">
        <v>6</v>
      </c>
      <c r="B21" s="45">
        <v>2013</v>
      </c>
      <c r="C21" s="46">
        <f t="shared" si="6"/>
        <v>38.30212227805169</v>
      </c>
      <c r="D21" s="47">
        <f t="shared" si="0"/>
        <v>13980.274631488866</v>
      </c>
      <c r="E21" s="47">
        <f t="shared" si="7"/>
        <v>277299.19874275546</v>
      </c>
      <c r="F21" s="47">
        <v>95</v>
      </c>
      <c r="G21" s="47">
        <f t="shared" si="1"/>
        <v>263434.2388056177</v>
      </c>
      <c r="H21" s="47">
        <f t="shared" si="2"/>
        <v>30.072401690139003</v>
      </c>
      <c r="I21" s="48">
        <f t="shared" si="3"/>
        <v>92.42326834256289</v>
      </c>
      <c r="J21" s="49">
        <f t="shared" si="4"/>
        <v>4.621163417128145</v>
      </c>
      <c r="K21" s="47">
        <f t="shared" si="5"/>
        <v>1843.8442034341297</v>
      </c>
    </row>
    <row r="22" spans="1:11" ht="12">
      <c r="A22" s="42">
        <v>7</v>
      </c>
      <c r="B22" s="45">
        <v>2014</v>
      </c>
      <c r="C22" s="46">
        <f t="shared" si="6"/>
        <v>39.25967533500298</v>
      </c>
      <c r="D22" s="47">
        <f t="shared" si="0"/>
        <v>14329.781497276088</v>
      </c>
      <c r="E22" s="47">
        <f t="shared" si="7"/>
        <v>317662.190664592</v>
      </c>
      <c r="F22" s="47">
        <v>95</v>
      </c>
      <c r="G22" s="47">
        <f t="shared" si="1"/>
        <v>301779.0811313624</v>
      </c>
      <c r="H22" s="47">
        <f t="shared" si="2"/>
        <v>34.44966679581763</v>
      </c>
      <c r="I22" s="48">
        <f t="shared" si="3"/>
        <v>105.87617282412718</v>
      </c>
      <c r="J22" s="49">
        <f t="shared" si="4"/>
        <v>5.293808641206359</v>
      </c>
      <c r="K22" s="47">
        <f t="shared" si="5"/>
        <v>2112.2296478413373</v>
      </c>
    </row>
    <row r="23" spans="1:11" ht="12">
      <c r="A23" s="42">
        <v>8</v>
      </c>
      <c r="B23" s="45">
        <v>2015</v>
      </c>
      <c r="C23" s="46">
        <f t="shared" si="6"/>
        <v>40.24116721837805</v>
      </c>
      <c r="D23" s="47">
        <f t="shared" si="0"/>
        <v>14688.02603470799</v>
      </c>
      <c r="E23" s="47">
        <f t="shared" si="7"/>
        <v>358215.0355753794</v>
      </c>
      <c r="F23" s="47">
        <v>95</v>
      </c>
      <c r="G23" s="47">
        <f t="shared" si="1"/>
        <v>340304.28379661037</v>
      </c>
      <c r="H23" s="47">
        <f t="shared" si="2"/>
        <v>38.84752098134822</v>
      </c>
      <c r="I23" s="48">
        <f t="shared" si="3"/>
        <v>119.39235492720276</v>
      </c>
      <c r="J23" s="49">
        <f t="shared" si="4"/>
        <v>5.9696177463601385</v>
      </c>
      <c r="K23" s="47">
        <f t="shared" si="5"/>
        <v>2381.877480797695</v>
      </c>
    </row>
    <row r="24" spans="1:11" ht="12">
      <c r="A24" s="42">
        <v>9</v>
      </c>
      <c r="B24" s="45">
        <v>2016</v>
      </c>
      <c r="C24" s="46">
        <f t="shared" si="6"/>
        <v>41.2471963988375</v>
      </c>
      <c r="D24" s="47">
        <f t="shared" si="0"/>
        <v>15055.226685575688</v>
      </c>
      <c r="E24" s="47">
        <f t="shared" si="7"/>
        <v>398958.626475257</v>
      </c>
      <c r="F24" s="47">
        <v>95</v>
      </c>
      <c r="G24" s="47">
        <f t="shared" si="1"/>
        <v>379010.6951514941</v>
      </c>
      <c r="H24" s="47">
        <f t="shared" si="2"/>
        <v>43.26606109035321</v>
      </c>
      <c r="I24" s="48">
        <f t="shared" si="3"/>
        <v>132.97211228695016</v>
      </c>
      <c r="J24" s="49">
        <f t="shared" si="4"/>
        <v>6.648605614347509</v>
      </c>
      <c r="K24" s="47">
        <f t="shared" si="5"/>
        <v>2652.793640124656</v>
      </c>
    </row>
    <row r="25" spans="1:11" ht="12">
      <c r="A25" s="42">
        <v>10</v>
      </c>
      <c r="B25" s="45">
        <v>2017</v>
      </c>
      <c r="C25" s="46">
        <f t="shared" si="6"/>
        <v>42.27837630880843</v>
      </c>
      <c r="D25" s="47">
        <f t="shared" si="0"/>
        <v>15431.607352715078</v>
      </c>
      <c r="E25" s="47">
        <f t="shared" si="7"/>
        <v>439893.8605647155</v>
      </c>
      <c r="F25" s="47">
        <v>95</v>
      </c>
      <c r="G25" s="47">
        <f t="shared" si="1"/>
        <v>417899.16753647977</v>
      </c>
      <c r="H25" s="47">
        <f t="shared" si="2"/>
        <v>47.705384421972575</v>
      </c>
      <c r="I25" s="48">
        <f t="shared" si="3"/>
        <v>146.61574393849855</v>
      </c>
      <c r="J25" s="49">
        <f t="shared" si="4"/>
        <v>7.330787196924928</v>
      </c>
      <c r="K25" s="47">
        <f t="shared" si="5"/>
        <v>2924.9840915730465</v>
      </c>
    </row>
    <row r="26" spans="1:11" ht="12">
      <c r="A26" s="42">
        <v>11</v>
      </c>
      <c r="B26" s="45">
        <v>2018</v>
      </c>
      <c r="C26" s="46">
        <f t="shared" si="6"/>
        <v>43.33533571652864</v>
      </c>
      <c r="D26" s="47">
        <f t="shared" si="0"/>
        <v>15817.397536532953</v>
      </c>
      <c r="E26" s="47">
        <f t="shared" si="7"/>
        <v>481021.63926435396</v>
      </c>
      <c r="F26" s="47">
        <v>95</v>
      </c>
      <c r="G26" s="47">
        <f t="shared" si="1"/>
        <v>456970.55730113626</v>
      </c>
      <c r="H26" s="47">
        <f t="shared" si="2"/>
        <v>52.16558873300642</v>
      </c>
      <c r="I26" s="48">
        <f t="shared" si="3"/>
        <v>160.3235503235306</v>
      </c>
      <c r="J26" s="49">
        <f t="shared" si="4"/>
        <v>8.016177516176532</v>
      </c>
      <c r="K26" s="47">
        <f t="shared" si="5"/>
        <v>3198.454828954436</v>
      </c>
    </row>
    <row r="27" spans="1:11" ht="12">
      <c r="A27" s="42">
        <v>12</v>
      </c>
      <c r="B27" s="45">
        <v>2019</v>
      </c>
      <c r="C27" s="46">
        <f t="shared" si="6"/>
        <v>44.41871910944185</v>
      </c>
      <c r="D27" s="47">
        <f t="shared" si="0"/>
        <v>16212.832474946275</v>
      </c>
      <c r="E27" s="47">
        <f t="shared" si="7"/>
        <v>522342.86823472934</v>
      </c>
      <c r="F27" s="47">
        <v>95</v>
      </c>
      <c r="G27" s="47">
        <f t="shared" si="1"/>
        <v>496225.7248229929</v>
      </c>
      <c r="H27" s="47">
        <f t="shared" si="2"/>
        <v>56.64677224006768</v>
      </c>
      <c r="I27" s="48">
        <f t="shared" si="3"/>
        <v>174.09583329689883</v>
      </c>
      <c r="J27" s="49">
        <f t="shared" si="4"/>
        <v>8.704791664844942</v>
      </c>
      <c r="K27" s="47">
        <f t="shared" si="5"/>
        <v>3473.211874273132</v>
      </c>
    </row>
    <row r="28" spans="1:11" ht="12">
      <c r="A28" s="42">
        <v>13</v>
      </c>
      <c r="B28" s="45">
        <v>2020</v>
      </c>
      <c r="C28" s="46">
        <f t="shared" si="6"/>
        <v>45.529187087177895</v>
      </c>
      <c r="D28" s="47">
        <f t="shared" si="0"/>
        <v>16618.153286819932</v>
      </c>
      <c r="E28" s="47">
        <f t="shared" si="7"/>
        <v>563858.4573963002</v>
      </c>
      <c r="F28" s="47">
        <v>95</v>
      </c>
      <c r="G28" s="47">
        <f t="shared" si="1"/>
        <v>535665.5345264851</v>
      </c>
      <c r="H28" s="47">
        <f t="shared" si="2"/>
        <v>61.14903362174488</v>
      </c>
      <c r="I28" s="48">
        <f t="shared" si="3"/>
        <v>187.932896133272</v>
      </c>
      <c r="J28" s="49">
        <f t="shared" si="4"/>
        <v>9.3966448066636</v>
      </c>
      <c r="K28" s="47">
        <f t="shared" si="5"/>
        <v>3749.2612778587763</v>
      </c>
    </row>
    <row r="29" spans="1:11" ht="12">
      <c r="A29" s="42">
        <v>14</v>
      </c>
      <c r="B29" s="45">
        <v>2021</v>
      </c>
      <c r="C29" s="46">
        <f t="shared" si="6"/>
        <v>46.66741676435734</v>
      </c>
      <c r="D29" s="47">
        <f t="shared" si="0"/>
        <v>17033.60711899043</v>
      </c>
      <c r="E29" s="47">
        <f t="shared" si="7"/>
        <v>605569.3209494632</v>
      </c>
      <c r="F29" s="47">
        <v>95</v>
      </c>
      <c r="G29" s="47">
        <f t="shared" si="1"/>
        <v>575290.85490199</v>
      </c>
      <c r="H29" s="47">
        <f t="shared" si="2"/>
        <v>65.67247202077512</v>
      </c>
      <c r="I29" s="48">
        <f t="shared" si="3"/>
        <v>201.83504353381417</v>
      </c>
      <c r="J29" s="49">
        <f t="shared" si="4"/>
        <v>10.09175217669071</v>
      </c>
      <c r="K29" s="47">
        <f t="shared" si="5"/>
        <v>4026.609118499593</v>
      </c>
    </row>
    <row r="30" spans="1:11" ht="12">
      <c r="A30" s="42">
        <v>15</v>
      </c>
      <c r="B30" s="45">
        <v>2022</v>
      </c>
      <c r="C30" s="46">
        <f t="shared" si="6"/>
        <v>47.83410218346627</v>
      </c>
      <c r="D30" s="47">
        <f t="shared" si="0"/>
        <v>17459.44729696519</v>
      </c>
      <c r="E30" s="47">
        <f t="shared" si="7"/>
        <v>647476.3773946848</v>
      </c>
      <c r="F30" s="47">
        <v>95</v>
      </c>
      <c r="G30" s="47">
        <f t="shared" si="1"/>
        <v>615102.5585249506</v>
      </c>
      <c r="H30" s="47">
        <f t="shared" si="2"/>
        <v>70.21718704622724</v>
      </c>
      <c r="I30" s="48">
        <f t="shared" si="3"/>
        <v>215.80258163289366</v>
      </c>
      <c r="J30" s="49">
        <f t="shared" si="4"/>
        <v>10.790129081644684</v>
      </c>
      <c r="K30" s="47">
        <f t="shared" si="5"/>
        <v>4305.261503576228</v>
      </c>
    </row>
    <row r="31" spans="1:11" ht="12">
      <c r="A31" s="42">
        <v>16</v>
      </c>
      <c r="B31" s="45">
        <v>2023</v>
      </c>
      <c r="C31" s="46">
        <f t="shared" si="6"/>
        <v>49.02995473805292</v>
      </c>
      <c r="D31" s="47">
        <f t="shared" si="0"/>
        <v>17895.933479389318</v>
      </c>
      <c r="E31" s="47">
        <f t="shared" si="7"/>
        <v>689580.5495527274</v>
      </c>
      <c r="F31" s="47">
        <v>95</v>
      </c>
      <c r="G31" s="47">
        <f t="shared" si="1"/>
        <v>655101.522075091</v>
      </c>
      <c r="H31" s="47">
        <f t="shared" si="2"/>
        <v>74.78327877569532</v>
      </c>
      <c r="I31" s="48">
        <f t="shared" si="3"/>
        <v>229.8358180048249</v>
      </c>
      <c r="J31" s="49">
        <f t="shared" si="4"/>
        <v>11.491790900241245</v>
      </c>
      <c r="K31" s="47">
        <f t="shared" si="5"/>
        <v>4585.224569196256</v>
      </c>
    </row>
    <row r="32" spans="1:11" ht="12">
      <c r="A32" s="42">
        <v>17</v>
      </c>
      <c r="B32" s="45">
        <v>2024</v>
      </c>
      <c r="C32" s="46">
        <f t="shared" si="6"/>
        <v>50.25570360650424</v>
      </c>
      <c r="D32" s="47">
        <f t="shared" si="0"/>
        <v>18343.331816374048</v>
      </c>
      <c r="E32" s="47">
        <f t="shared" si="7"/>
        <v>731882.7645849697</v>
      </c>
      <c r="F32" s="47">
        <v>95</v>
      </c>
      <c r="G32" s="47">
        <f t="shared" si="1"/>
        <v>695288.6263557211</v>
      </c>
      <c r="H32" s="47">
        <f t="shared" si="2"/>
        <v>79.37084775750242</v>
      </c>
      <c r="I32" s="48">
        <f t="shared" si="3"/>
        <v>243.9350616706412</v>
      </c>
      <c r="J32" s="49">
        <f t="shared" si="4"/>
        <v>12.19675308353206</v>
      </c>
      <c r="K32" s="47">
        <f t="shared" si="5"/>
        <v>4866.504480329292</v>
      </c>
    </row>
    <row r="33" spans="1:11" ht="12">
      <c r="A33" s="42">
        <v>18</v>
      </c>
      <c r="B33" s="45">
        <v>2025</v>
      </c>
      <c r="C33" s="46">
        <f t="shared" si="6"/>
        <v>51.512096196666846</v>
      </c>
      <c r="D33" s="47">
        <f t="shared" si="0"/>
        <v>18801.915111783397</v>
      </c>
      <c r="E33" s="47">
        <f t="shared" si="7"/>
        <v>774383.9540138242</v>
      </c>
      <c r="F33" s="47">
        <v>95</v>
      </c>
      <c r="G33" s="47">
        <f t="shared" si="1"/>
        <v>735664.756313133</v>
      </c>
      <c r="H33" s="47">
        <f t="shared" si="2"/>
        <v>83.97999501291473</v>
      </c>
      <c r="I33" s="48">
        <f t="shared" si="3"/>
        <v>258.10062310489957</v>
      </c>
      <c r="J33" s="49">
        <f t="shared" si="4"/>
        <v>12.905031155244979</v>
      </c>
      <c r="K33" s="47">
        <f t="shared" si="5"/>
        <v>5149.107430942746</v>
      </c>
    </row>
    <row r="34" spans="1:11" ht="12">
      <c r="A34" s="42">
        <v>19</v>
      </c>
      <c r="B34" s="45">
        <v>2026</v>
      </c>
      <c r="C34" s="46">
        <f t="shared" si="6"/>
        <v>52.799898601583514</v>
      </c>
      <c r="D34" s="47">
        <f t="shared" si="0"/>
        <v>19271.962989577984</v>
      </c>
      <c r="E34" s="47">
        <f t="shared" si="7"/>
        <v>817085.0537432496</v>
      </c>
      <c r="F34" s="47">
        <v>95</v>
      </c>
      <c r="G34" s="47">
        <f t="shared" si="1"/>
        <v>776230.8010560871</v>
      </c>
      <c r="H34" s="47">
        <f t="shared" si="2"/>
        <v>88.61082203836611</v>
      </c>
      <c r="I34" s="48">
        <f t="shared" si="3"/>
        <v>272.3328142425176</v>
      </c>
      <c r="J34" s="49">
        <f t="shared" si="4"/>
        <v>13.61664071212588</v>
      </c>
      <c r="K34" s="47">
        <f t="shared" si="5"/>
        <v>5433.039644138225</v>
      </c>
    </row>
    <row r="35" spans="1:11" ht="12">
      <c r="A35" s="42">
        <v>20</v>
      </c>
      <c r="B35" s="45">
        <v>2027</v>
      </c>
      <c r="C35" s="46">
        <f t="shared" si="6"/>
        <v>54.1198960666231</v>
      </c>
      <c r="D35" s="47">
        <f t="shared" si="0"/>
        <v>19753.76206431743</v>
      </c>
      <c r="E35" s="47">
        <f t="shared" si="7"/>
        <v>859987.0040793598</v>
      </c>
      <c r="F35" s="47">
        <v>95</v>
      </c>
      <c r="G35" s="47">
        <f t="shared" si="1"/>
        <v>816987.6538753918</v>
      </c>
      <c r="H35" s="47">
        <f t="shared" si="2"/>
        <v>93.26343080769313</v>
      </c>
      <c r="I35" s="48">
        <f t="shared" si="3"/>
        <v>286.6319484856424</v>
      </c>
      <c r="J35" s="49">
        <f t="shared" si="4"/>
        <v>14.331597424282121</v>
      </c>
      <c r="K35" s="47">
        <f t="shared" si="5"/>
        <v>5718.307372288566</v>
      </c>
    </row>
    <row r="36" spans="4:11" ht="12">
      <c r="D36" s="56">
        <f>SUM(D15:D35)</f>
        <v>327698.3646370155</v>
      </c>
      <c r="F36" s="50"/>
      <c r="J36" s="52" t="s">
        <v>258</v>
      </c>
      <c r="K36" s="53">
        <f>SUM(K15:K35)</f>
        <v>57997.42640138135</v>
      </c>
    </row>
  </sheetData>
  <sheetProtection/>
  <printOptions/>
  <pageMargins left="0.75" right="0.75" top="1" bottom="1" header="0" footer="0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9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120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PIGARS'!E30</f>
        <v>32.69136</v>
      </c>
      <c r="D15" s="47">
        <f aca="true" t="shared" si="0" ref="D15:D35">+C15*365</f>
        <v>11932.3464</v>
      </c>
      <c r="E15" s="47">
        <f>2*$C$3*$C$4*D15*EXP(-1*$C$3*A15)</f>
        <v>38660.802336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33.508644</v>
      </c>
      <c r="D16" s="47">
        <f t="shared" si="0"/>
        <v>12230.65506</v>
      </c>
      <c r="E16" s="47">
        <f aca="true" t="shared" si="7" ref="E16:E35">2*$C$3*$C$4*D16*EXP(-1*$C$3*A16)+E15</f>
        <v>77503.45117368994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34.34636009999999</v>
      </c>
      <c r="D17" s="47">
        <f t="shared" si="0"/>
        <v>12536.421436499997</v>
      </c>
      <c r="E17" s="47">
        <f t="shared" si="7"/>
        <v>116528.8018535744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35.20501910249999</v>
      </c>
      <c r="D18" s="47">
        <f t="shared" si="0"/>
        <v>12849.831972412496</v>
      </c>
      <c r="E18" s="47">
        <f t="shared" si="7"/>
        <v>155737.71373937186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36.08514458006248</v>
      </c>
      <c r="D19" s="47">
        <f t="shared" si="0"/>
        <v>13171.077771722807</v>
      </c>
      <c r="E19" s="47">
        <f t="shared" si="7"/>
        <v>195131.05023693852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36.98727319456404</v>
      </c>
      <c r="D20" s="47">
        <f t="shared" si="0"/>
        <v>13500.354716015874</v>
      </c>
      <c r="E20" s="47">
        <f t="shared" si="7"/>
        <v>234709.67881328095</v>
      </c>
      <c r="F20" s="47">
        <v>95</v>
      </c>
      <c r="G20" s="47">
        <f t="shared" si="1"/>
        <v>222974.1948726169</v>
      </c>
      <c r="H20" s="47">
        <f t="shared" si="2"/>
        <v>25.453675213769053</v>
      </c>
      <c r="I20" s="48">
        <f t="shared" si="3"/>
        <v>78.22826652910892</v>
      </c>
      <c r="J20" s="49">
        <f t="shared" si="4"/>
        <v>3.9114133264554463</v>
      </c>
      <c r="K20" s="47">
        <f t="shared" si="5"/>
        <v>1560.653917255723</v>
      </c>
    </row>
    <row r="21" spans="1:11" ht="12">
      <c r="A21" s="42">
        <v>6</v>
      </c>
      <c r="B21" s="45">
        <v>2013</v>
      </c>
      <c r="C21" s="46">
        <f t="shared" si="6"/>
        <v>37.91195502442814</v>
      </c>
      <c r="D21" s="47">
        <f t="shared" si="0"/>
        <v>13837.86358391627</v>
      </c>
      <c r="E21" s="47">
        <f t="shared" si="7"/>
        <v>274474.4710156584</v>
      </c>
      <c r="F21" s="47">
        <v>95</v>
      </c>
      <c r="G21" s="47">
        <f t="shared" si="1"/>
        <v>260750.74746487546</v>
      </c>
      <c r="H21" s="47">
        <f t="shared" si="2"/>
        <v>29.766067062200396</v>
      </c>
      <c r="I21" s="48">
        <f t="shared" si="3"/>
        <v>91.4817922405769</v>
      </c>
      <c r="J21" s="49">
        <f t="shared" si="4"/>
        <v>4.574089612028845</v>
      </c>
      <c r="K21" s="47">
        <f t="shared" si="5"/>
        <v>1825.061755199509</v>
      </c>
    </row>
    <row r="22" spans="1:11" ht="12">
      <c r="A22" s="42">
        <v>7</v>
      </c>
      <c r="B22" s="45">
        <v>2014</v>
      </c>
      <c r="C22" s="46">
        <f t="shared" si="6"/>
        <v>38.85975390003884</v>
      </c>
      <c r="D22" s="47">
        <f t="shared" si="0"/>
        <v>14183.810173514177</v>
      </c>
      <c r="E22" s="47">
        <f t="shared" si="7"/>
        <v>314426.30249077483</v>
      </c>
      <c r="F22" s="47">
        <v>95</v>
      </c>
      <c r="G22" s="47">
        <f t="shared" si="1"/>
        <v>298704.98736623605</v>
      </c>
      <c r="H22" s="47">
        <f t="shared" si="2"/>
        <v>34.098742850026944</v>
      </c>
      <c r="I22" s="48">
        <f t="shared" si="3"/>
        <v>104.79765776757024</v>
      </c>
      <c r="J22" s="49">
        <f t="shared" si="4"/>
        <v>5.239882888378513</v>
      </c>
      <c r="K22" s="47">
        <f t="shared" si="5"/>
        <v>2090.7132724630264</v>
      </c>
    </row>
    <row r="23" spans="1:11" ht="12">
      <c r="A23" s="42">
        <v>8</v>
      </c>
      <c r="B23" s="45">
        <v>2015</v>
      </c>
      <c r="C23" s="46">
        <f t="shared" si="6"/>
        <v>39.831247747539805</v>
      </c>
      <c r="D23" s="47">
        <f t="shared" si="0"/>
        <v>14538.405427852029</v>
      </c>
      <c r="E23" s="47">
        <f t="shared" si="7"/>
        <v>354566.05300406116</v>
      </c>
      <c r="F23" s="47">
        <v>95</v>
      </c>
      <c r="G23" s="47">
        <f t="shared" si="1"/>
        <v>336837.7503538581</v>
      </c>
      <c r="H23" s="47">
        <f t="shared" si="2"/>
        <v>38.451797985600244</v>
      </c>
      <c r="I23" s="48">
        <f t="shared" si="3"/>
        <v>118.17615633414758</v>
      </c>
      <c r="J23" s="49">
        <f t="shared" si="4"/>
        <v>5.908807816707379</v>
      </c>
      <c r="K23" s="47">
        <f t="shared" si="5"/>
        <v>2357.614318866244</v>
      </c>
    </row>
    <row r="24" spans="1:11" ht="12">
      <c r="A24" s="42">
        <v>9</v>
      </c>
      <c r="B24" s="45">
        <v>2016</v>
      </c>
      <c r="C24" s="46">
        <f t="shared" si="6"/>
        <v>40.8270289412283</v>
      </c>
      <c r="D24" s="47">
        <f t="shared" si="0"/>
        <v>14901.86556354833</v>
      </c>
      <c r="E24" s="47">
        <f t="shared" si="7"/>
        <v>394894.6064590482</v>
      </c>
      <c r="F24" s="47">
        <v>95</v>
      </c>
      <c r="G24" s="47">
        <f t="shared" si="1"/>
        <v>375149.87613609585</v>
      </c>
      <c r="H24" s="47">
        <f t="shared" si="2"/>
        <v>42.82532832603834</v>
      </c>
      <c r="I24" s="48">
        <f t="shared" si="3"/>
        <v>131.61758254358784</v>
      </c>
      <c r="J24" s="49">
        <f t="shared" si="4"/>
        <v>6.580879127179393</v>
      </c>
      <c r="K24" s="47">
        <f t="shared" si="5"/>
        <v>2625.770771744578</v>
      </c>
    </row>
    <row r="25" spans="1:11" ht="12">
      <c r="A25" s="42">
        <v>10</v>
      </c>
      <c r="B25" s="45">
        <v>2017</v>
      </c>
      <c r="C25" s="46">
        <f t="shared" si="6"/>
        <v>41.847704664759</v>
      </c>
      <c r="D25" s="47">
        <f t="shared" si="0"/>
        <v>15274.412202637035</v>
      </c>
      <c r="E25" s="47">
        <f t="shared" si="7"/>
        <v>435412.85091683106</v>
      </c>
      <c r="F25" s="47">
        <v>95</v>
      </c>
      <c r="G25" s="47">
        <f t="shared" si="1"/>
        <v>413642.2083709895</v>
      </c>
      <c r="H25" s="47">
        <f t="shared" si="2"/>
        <v>47.2194301793367</v>
      </c>
      <c r="I25" s="48">
        <f t="shared" si="3"/>
        <v>145.12223238487795</v>
      </c>
      <c r="J25" s="49">
        <f t="shared" si="4"/>
        <v>7.256111619243898</v>
      </c>
      <c r="K25" s="47">
        <f t="shared" si="5"/>
        <v>2895.188536078315</v>
      </c>
    </row>
    <row r="26" spans="1:11" ht="12">
      <c r="A26" s="42">
        <v>11</v>
      </c>
      <c r="B26" s="45">
        <v>2018</v>
      </c>
      <c r="C26" s="46">
        <f t="shared" si="6"/>
        <v>42.893897281377974</v>
      </c>
      <c r="D26" s="47">
        <f t="shared" si="0"/>
        <v>15656.27250770296</v>
      </c>
      <c r="E26" s="47">
        <f t="shared" si="7"/>
        <v>476121.67861562455</v>
      </c>
      <c r="F26" s="47">
        <v>95</v>
      </c>
      <c r="G26" s="47">
        <f t="shared" si="1"/>
        <v>452315.5946848433</v>
      </c>
      <c r="H26" s="47">
        <f t="shared" si="2"/>
        <v>51.634200306488964</v>
      </c>
      <c r="I26" s="48">
        <f t="shared" si="3"/>
        <v>158.69040323923042</v>
      </c>
      <c r="J26" s="49">
        <f t="shared" si="4"/>
        <v>7.9345201619615215</v>
      </c>
      <c r="K26" s="47">
        <f t="shared" si="5"/>
        <v>3165.8735446226465</v>
      </c>
    </row>
    <row r="27" spans="1:11" ht="12">
      <c r="A27" s="42">
        <v>12</v>
      </c>
      <c r="B27" s="45">
        <v>2019</v>
      </c>
      <c r="C27" s="46">
        <f t="shared" si="6"/>
        <v>43.96624471341242</v>
      </c>
      <c r="D27" s="47">
        <f t="shared" si="0"/>
        <v>16047.679320395535</v>
      </c>
      <c r="E27" s="47">
        <f t="shared" si="7"/>
        <v>517021.98599041096</v>
      </c>
      <c r="F27" s="47">
        <v>95</v>
      </c>
      <c r="G27" s="47">
        <f t="shared" si="1"/>
        <v>491170.8866908904</v>
      </c>
      <c r="H27" s="47">
        <f t="shared" si="2"/>
        <v>56.06973592361763</v>
      </c>
      <c r="I27" s="48">
        <f t="shared" si="3"/>
        <v>172.322393886632</v>
      </c>
      <c r="J27" s="49">
        <f t="shared" si="4"/>
        <v>8.6161196943316</v>
      </c>
      <c r="K27" s="47">
        <f t="shared" si="5"/>
        <v>3437.8317580383086</v>
      </c>
    </row>
    <row r="28" spans="1:11" ht="12">
      <c r="A28" s="42">
        <v>13</v>
      </c>
      <c r="B28" s="45">
        <v>2020</v>
      </c>
      <c r="C28" s="46">
        <f t="shared" si="6"/>
        <v>45.06540083124773</v>
      </c>
      <c r="D28" s="47">
        <f t="shared" si="0"/>
        <v>16448.87130340542</v>
      </c>
      <c r="E28" s="47">
        <f t="shared" si="7"/>
        <v>558114.6736926802</v>
      </c>
      <c r="F28" s="47">
        <v>95</v>
      </c>
      <c r="G28" s="47">
        <f t="shared" si="1"/>
        <v>530208.9400080462</v>
      </c>
      <c r="H28" s="47">
        <f t="shared" si="2"/>
        <v>60.52613470411487</v>
      </c>
      <c r="I28" s="48">
        <f t="shared" si="3"/>
        <v>186.01850451242294</v>
      </c>
      <c r="J28" s="49">
        <f t="shared" si="4"/>
        <v>9.300925225621148</v>
      </c>
      <c r="K28" s="47">
        <f t="shared" si="5"/>
        <v>3711.0691650228378</v>
      </c>
    </row>
    <row r="29" spans="1:11" ht="12">
      <c r="A29" s="42">
        <v>14</v>
      </c>
      <c r="B29" s="45">
        <v>2021</v>
      </c>
      <c r="C29" s="46">
        <f t="shared" si="6"/>
        <v>46.192035852028916</v>
      </c>
      <c r="D29" s="47">
        <f t="shared" si="0"/>
        <v>16860.093085990553</v>
      </c>
      <c r="E29" s="47">
        <f t="shared" si="7"/>
        <v>599400.6466102627</v>
      </c>
      <c r="F29" s="47">
        <v>95</v>
      </c>
      <c r="G29" s="47">
        <f t="shared" si="1"/>
        <v>569430.6142797496</v>
      </c>
      <c r="H29" s="47">
        <f t="shared" si="2"/>
        <v>65.00349478079333</v>
      </c>
      <c r="I29" s="48">
        <f t="shared" si="3"/>
        <v>199.77903671390732</v>
      </c>
      <c r="J29" s="49">
        <f t="shared" si="4"/>
        <v>9.988951835695367</v>
      </c>
      <c r="K29" s="47">
        <f t="shared" si="5"/>
        <v>3985.591782442451</v>
      </c>
    </row>
    <row r="30" spans="1:11" ht="12">
      <c r="A30" s="42">
        <v>15</v>
      </c>
      <c r="B30" s="45">
        <v>2022</v>
      </c>
      <c r="C30" s="46">
        <f t="shared" si="6"/>
        <v>47.346836748329636</v>
      </c>
      <c r="D30" s="47">
        <f t="shared" si="0"/>
        <v>17281.595413140316</v>
      </c>
      <c r="E30" s="47">
        <f t="shared" si="7"/>
        <v>640880.8138872555</v>
      </c>
      <c r="F30" s="47">
        <v>95</v>
      </c>
      <c r="G30" s="47">
        <f t="shared" si="1"/>
        <v>608836.7731928928</v>
      </c>
      <c r="H30" s="47">
        <f t="shared" si="2"/>
        <v>69.50191474804713</v>
      </c>
      <c r="I30" s="48">
        <f t="shared" si="3"/>
        <v>213.60429350699448</v>
      </c>
      <c r="J30" s="49">
        <f t="shared" si="4"/>
        <v>10.680214675349724</v>
      </c>
      <c r="K30" s="47">
        <f t="shared" si="5"/>
        <v>4261.405655464539</v>
      </c>
    </row>
    <row r="31" spans="1:11" ht="12">
      <c r="A31" s="42">
        <v>16</v>
      </c>
      <c r="B31" s="45">
        <v>2023</v>
      </c>
      <c r="C31" s="46">
        <f t="shared" si="6"/>
        <v>48.530507667037874</v>
      </c>
      <c r="D31" s="47">
        <f t="shared" si="0"/>
        <v>17713.635298468824</v>
      </c>
      <c r="E31" s="47">
        <f t="shared" si="7"/>
        <v>682556.0889440423</v>
      </c>
      <c r="F31" s="47">
        <v>95</v>
      </c>
      <c r="G31" s="47">
        <f t="shared" si="1"/>
        <v>648428.2844968402</v>
      </c>
      <c r="H31" s="47">
        <f t="shared" si="2"/>
        <v>74.02149366402286</v>
      </c>
      <c r="I31" s="48">
        <f t="shared" si="3"/>
        <v>227.49457933287138</v>
      </c>
      <c r="J31" s="49">
        <f t="shared" si="4"/>
        <v>11.37472896664357</v>
      </c>
      <c r="K31" s="47">
        <f t="shared" si="5"/>
        <v>4538.516857690784</v>
      </c>
    </row>
    <row r="32" spans="1:11" ht="12">
      <c r="A32" s="42">
        <v>17</v>
      </c>
      <c r="B32" s="45">
        <v>2024</v>
      </c>
      <c r="C32" s="46">
        <f t="shared" si="6"/>
        <v>49.74377035871382</v>
      </c>
      <c r="D32" s="47">
        <f t="shared" si="0"/>
        <v>18156.476180930542</v>
      </c>
      <c r="E32" s="47">
        <f t="shared" si="7"/>
        <v>724427.3894974078</v>
      </c>
      <c r="F32" s="47">
        <v>95</v>
      </c>
      <c r="G32" s="47">
        <f t="shared" si="1"/>
        <v>688206.0200225374</v>
      </c>
      <c r="H32" s="47">
        <f t="shared" si="2"/>
        <v>78.56233105280108</v>
      </c>
      <c r="I32" s="48">
        <f t="shared" si="3"/>
        <v>241.450200064707</v>
      </c>
      <c r="J32" s="49">
        <f t="shared" si="4"/>
        <v>12.072510003235351</v>
      </c>
      <c r="K32" s="47">
        <f t="shared" si="5"/>
        <v>4816.931491290905</v>
      </c>
    </row>
    <row r="33" spans="1:11" ht="12">
      <c r="A33" s="42">
        <v>18</v>
      </c>
      <c r="B33" s="45">
        <v>2025</v>
      </c>
      <c r="C33" s="46">
        <f t="shared" si="6"/>
        <v>50.987364617681656</v>
      </c>
      <c r="D33" s="47">
        <f t="shared" si="0"/>
        <v>18610.388085453804</v>
      </c>
      <c r="E33" s="47">
        <f t="shared" si="7"/>
        <v>766495.6375807461</v>
      </c>
      <c r="F33" s="47">
        <v>95</v>
      </c>
      <c r="G33" s="47">
        <f t="shared" si="1"/>
        <v>728170.8557017088</v>
      </c>
      <c r="H33" s="47">
        <f t="shared" si="2"/>
        <v>83.12452690658776</v>
      </c>
      <c r="I33" s="48">
        <f t="shared" si="3"/>
        <v>255.47146301438752</v>
      </c>
      <c r="J33" s="49">
        <f t="shared" si="4"/>
        <v>12.773573150719377</v>
      </c>
      <c r="K33" s="47">
        <f t="shared" si="5"/>
        <v>5096.655687137031</v>
      </c>
    </row>
    <row r="34" spans="1:11" ht="12">
      <c r="A34" s="42">
        <v>19</v>
      </c>
      <c r="B34" s="45">
        <v>2026</v>
      </c>
      <c r="C34" s="46">
        <f t="shared" si="6"/>
        <v>52.26204873312369</v>
      </c>
      <c r="D34" s="47">
        <f t="shared" si="0"/>
        <v>19075.647787590147</v>
      </c>
      <c r="E34" s="47">
        <f t="shared" si="7"/>
        <v>808761.7595643643</v>
      </c>
      <c r="F34" s="47">
        <v>95</v>
      </c>
      <c r="G34" s="47">
        <f t="shared" si="1"/>
        <v>768323.6715861461</v>
      </c>
      <c r="H34" s="47">
        <f t="shared" si="2"/>
        <v>87.70818168791622</v>
      </c>
      <c r="I34" s="48">
        <f t="shared" si="3"/>
        <v>269.5586769392835</v>
      </c>
      <c r="J34" s="49">
        <f t="shared" si="4"/>
        <v>13.477933846964175</v>
      </c>
      <c r="K34" s="47">
        <f t="shared" si="5"/>
        <v>5377.695604938705</v>
      </c>
    </row>
    <row r="35" spans="1:11" ht="12">
      <c r="A35" s="42">
        <v>20</v>
      </c>
      <c r="B35" s="45">
        <v>2027</v>
      </c>
      <c r="C35" s="46">
        <f t="shared" si="6"/>
        <v>53.56859995145178</v>
      </c>
      <c r="D35" s="47">
        <f t="shared" si="0"/>
        <v>19552.5389822799</v>
      </c>
      <c r="E35" s="47">
        <f t="shared" si="7"/>
        <v>851226.6861758826</v>
      </c>
      <c r="F35" s="47">
        <v>95</v>
      </c>
      <c r="G35" s="47">
        <f t="shared" si="1"/>
        <v>808665.3518670886</v>
      </c>
      <c r="H35" s="47">
        <f t="shared" si="2"/>
        <v>92.31339633185942</v>
      </c>
      <c r="I35" s="48">
        <f t="shared" si="3"/>
        <v>283.71215204904934</v>
      </c>
      <c r="J35" s="49">
        <f t="shared" si="4"/>
        <v>14.185607602452468</v>
      </c>
      <c r="K35" s="47">
        <f t="shared" si="5"/>
        <v>5660.057433378534</v>
      </c>
    </row>
    <row r="36" spans="4:11" ht="12">
      <c r="D36" s="56">
        <f>SUM(D15:D35)</f>
        <v>324360.242273477</v>
      </c>
      <c r="F36" s="50"/>
      <c r="J36" s="52" t="s">
        <v>258</v>
      </c>
      <c r="K36" s="53">
        <f>SUM(K15:K35)</f>
        <v>57406.631551634135</v>
      </c>
    </row>
  </sheetData>
  <sheetProtection/>
  <printOptions/>
  <pageMargins left="0.75" right="0.75" top="1" bottom="1" header="0" footer="0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3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307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PIGARS'!E31</f>
        <v>29.095560000000003</v>
      </c>
      <c r="D15" s="47">
        <f aca="true" t="shared" si="0" ref="D15:D35">+C15*365</f>
        <v>10619.879400000002</v>
      </c>
      <c r="E15" s="47">
        <f>2*$C$3*$C$4*D15*EXP(-1*$C$3*A15)</f>
        <v>34408.409256000006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29.822949</v>
      </c>
      <c r="D16" s="47">
        <f t="shared" si="0"/>
        <v>10885.376385</v>
      </c>
      <c r="E16" s="47">
        <f aca="true" t="shared" si="7" ref="E16:E35">2*$C$3*$C$4*D16*EXP(-1*$C$3*A16)+E15</f>
        <v>68978.66328691026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30.568522724999998</v>
      </c>
      <c r="D17" s="47">
        <f t="shared" si="0"/>
        <v>11157.510794625</v>
      </c>
      <c r="E17" s="47">
        <f t="shared" si="7"/>
        <v>103711.5233523104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31.332735793124996</v>
      </c>
      <c r="D18" s="47">
        <f t="shared" si="0"/>
        <v>11436.448564490624</v>
      </c>
      <c r="E18" s="47">
        <f t="shared" si="7"/>
        <v>138607.75429247116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32.11605418795312</v>
      </c>
      <c r="D19" s="47">
        <f t="shared" si="0"/>
        <v>11722.359778602888</v>
      </c>
      <c r="E19" s="47">
        <f t="shared" si="7"/>
        <v>173668.12454519665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32.91895554265194</v>
      </c>
      <c r="D20" s="47">
        <f t="shared" si="0"/>
        <v>12015.418773067959</v>
      </c>
      <c r="E20" s="47">
        <f t="shared" si="7"/>
        <v>208893.40616274596</v>
      </c>
      <c r="F20" s="47">
        <v>95</v>
      </c>
      <c r="G20" s="47">
        <f t="shared" si="1"/>
        <v>198448.73585460868</v>
      </c>
      <c r="H20" s="47">
        <f t="shared" si="2"/>
        <v>22.65396528020647</v>
      </c>
      <c r="I20" s="48">
        <f t="shared" si="3"/>
        <v>69.6237544872309</v>
      </c>
      <c r="J20" s="49">
        <f t="shared" si="4"/>
        <v>3.481187724361545</v>
      </c>
      <c r="K20" s="47">
        <f t="shared" si="5"/>
        <v>1388.9939020202564</v>
      </c>
    </row>
    <row r="21" spans="1:11" ht="12">
      <c r="A21" s="42">
        <v>6</v>
      </c>
      <c r="B21" s="45">
        <v>2013</v>
      </c>
      <c r="C21" s="46">
        <f t="shared" si="6"/>
        <v>33.74192943121824</v>
      </c>
      <c r="D21" s="47">
        <f t="shared" si="0"/>
        <v>12315.804242394657</v>
      </c>
      <c r="E21" s="47">
        <f t="shared" si="7"/>
        <v>244284.3748288341</v>
      </c>
      <c r="F21" s="47">
        <v>95</v>
      </c>
      <c r="G21" s="47">
        <f t="shared" si="1"/>
        <v>232070.1560873924</v>
      </c>
      <c r="H21" s="47">
        <f t="shared" si="2"/>
        <v>26.492026950615568</v>
      </c>
      <c r="I21" s="48">
        <f t="shared" si="3"/>
        <v>81.41949356170075</v>
      </c>
      <c r="J21" s="49">
        <f t="shared" si="4"/>
        <v>4.0709746780850375</v>
      </c>
      <c r="K21" s="47">
        <f t="shared" si="5"/>
        <v>1624.31889655593</v>
      </c>
    </row>
    <row r="22" spans="1:11" ht="12">
      <c r="A22" s="42">
        <v>7</v>
      </c>
      <c r="B22" s="45">
        <v>2014</v>
      </c>
      <c r="C22" s="46">
        <f t="shared" si="6"/>
        <v>34.58547766699869</v>
      </c>
      <c r="D22" s="47">
        <f t="shared" si="0"/>
        <v>12623.699348454522</v>
      </c>
      <c r="E22" s="47">
        <f t="shared" si="7"/>
        <v>279841.80987571314</v>
      </c>
      <c r="F22" s="47">
        <v>95</v>
      </c>
      <c r="G22" s="47">
        <f t="shared" si="1"/>
        <v>265849.71938192745</v>
      </c>
      <c r="H22" s="47">
        <f t="shared" si="2"/>
        <v>30.34814148195519</v>
      </c>
      <c r="I22" s="48">
        <f t="shared" si="3"/>
        <v>93.27071554795542</v>
      </c>
      <c r="J22" s="49">
        <f t="shared" si="4"/>
        <v>4.6635357773977715</v>
      </c>
      <c r="K22" s="47">
        <f t="shared" si="5"/>
        <v>1860.7507751817107</v>
      </c>
    </row>
    <row r="23" spans="1:11" ht="12">
      <c r="A23" s="42">
        <v>8</v>
      </c>
      <c r="B23" s="45">
        <v>2015</v>
      </c>
      <c r="C23" s="46">
        <f t="shared" si="6"/>
        <v>35.45011460867366</v>
      </c>
      <c r="D23" s="47">
        <f t="shared" si="0"/>
        <v>12939.291832165885</v>
      </c>
      <c r="E23" s="47">
        <f t="shared" si="7"/>
        <v>315566.4943013336</v>
      </c>
      <c r="F23" s="47">
        <v>95</v>
      </c>
      <c r="G23" s="47">
        <f t="shared" si="1"/>
        <v>299788.169586267</v>
      </c>
      <c r="H23" s="47">
        <f t="shared" si="2"/>
        <v>34.22239378838664</v>
      </c>
      <c r="I23" s="48">
        <f t="shared" si="3"/>
        <v>105.1776814176459</v>
      </c>
      <c r="J23" s="49">
        <f t="shared" si="4"/>
        <v>5.258884070882296</v>
      </c>
      <c r="K23" s="47">
        <f t="shared" si="5"/>
        <v>2098.2947442820355</v>
      </c>
    </row>
    <row r="24" spans="1:11" ht="12">
      <c r="A24" s="42">
        <v>9</v>
      </c>
      <c r="B24" s="45">
        <v>2016</v>
      </c>
      <c r="C24" s="46">
        <f t="shared" si="6"/>
        <v>36.3363674738905</v>
      </c>
      <c r="D24" s="47">
        <f t="shared" si="0"/>
        <v>13262.774127970031</v>
      </c>
      <c r="E24" s="47">
        <f t="shared" si="7"/>
        <v>351459.2147865867</v>
      </c>
      <c r="F24" s="47">
        <v>95</v>
      </c>
      <c r="G24" s="47">
        <f t="shared" si="1"/>
        <v>333886.25404725736</v>
      </c>
      <c r="H24" s="47">
        <f t="shared" si="2"/>
        <v>38.11486918347687</v>
      </c>
      <c r="I24" s="48">
        <f t="shared" si="3"/>
        <v>117.14065336993977</v>
      </c>
      <c r="J24" s="49">
        <f t="shared" si="4"/>
        <v>5.857032668496989</v>
      </c>
      <c r="K24" s="47">
        <f t="shared" si="5"/>
        <v>2336.9560347302986</v>
      </c>
    </row>
    <row r="25" spans="1:11" ht="12">
      <c r="A25" s="42">
        <v>10</v>
      </c>
      <c r="B25" s="45">
        <v>2017</v>
      </c>
      <c r="C25" s="46">
        <f t="shared" si="6"/>
        <v>37.244776660737756</v>
      </c>
      <c r="D25" s="47">
        <f t="shared" si="0"/>
        <v>13594.34348116928</v>
      </c>
      <c r="E25" s="47">
        <f t="shared" si="7"/>
        <v>387520.76171262737</v>
      </c>
      <c r="F25" s="47">
        <v>95</v>
      </c>
      <c r="G25" s="47">
        <f t="shared" si="1"/>
        <v>368144.723626996</v>
      </c>
      <c r="H25" s="47">
        <f t="shared" si="2"/>
        <v>42.02565338207717</v>
      </c>
      <c r="I25" s="48">
        <f t="shared" si="3"/>
        <v>129.15989483729527</v>
      </c>
      <c r="J25" s="49">
        <f t="shared" si="4"/>
        <v>6.457994741864764</v>
      </c>
      <c r="K25" s="47">
        <f t="shared" si="5"/>
        <v>2576.7399020040407</v>
      </c>
    </row>
    <row r="26" spans="1:11" ht="12">
      <c r="A26" s="42">
        <v>11</v>
      </c>
      <c r="B26" s="45">
        <v>2018</v>
      </c>
      <c r="C26" s="46">
        <f t="shared" si="6"/>
        <v>38.1758960772562</v>
      </c>
      <c r="D26" s="47">
        <f t="shared" si="0"/>
        <v>13934.202068198512</v>
      </c>
      <c r="E26" s="47">
        <f t="shared" si="7"/>
        <v>423751.92917827907</v>
      </c>
      <c r="F26" s="47">
        <v>95</v>
      </c>
      <c r="G26" s="47">
        <f t="shared" si="1"/>
        <v>402564.33271936513</v>
      </c>
      <c r="H26" s="47">
        <f t="shared" si="2"/>
        <v>45.95483250221063</v>
      </c>
      <c r="I26" s="48">
        <f t="shared" si="3"/>
        <v>141.23567049126206</v>
      </c>
      <c r="J26" s="49">
        <f t="shared" si="4"/>
        <v>7.061783524563103</v>
      </c>
      <c r="K26" s="47">
        <f t="shared" si="5"/>
        <v>2817.651626300678</v>
      </c>
    </row>
    <row r="27" spans="1:11" ht="12">
      <c r="A27" s="42">
        <v>12</v>
      </c>
      <c r="B27" s="45">
        <v>2019</v>
      </c>
      <c r="C27" s="46">
        <f t="shared" si="6"/>
        <v>39.1302934791876</v>
      </c>
      <c r="D27" s="47">
        <f t="shared" si="0"/>
        <v>14282.557119903475</v>
      </c>
      <c r="E27" s="47">
        <f t="shared" si="7"/>
        <v>460153.5150175204</v>
      </c>
      <c r="F27" s="47">
        <v>95</v>
      </c>
      <c r="G27" s="47">
        <f t="shared" si="1"/>
        <v>437145.83926664444</v>
      </c>
      <c r="H27" s="47">
        <f t="shared" si="2"/>
        <v>49.902493066968546</v>
      </c>
      <c r="I27" s="48">
        <f t="shared" si="3"/>
        <v>153.36824624830953</v>
      </c>
      <c r="J27" s="49">
        <f t="shared" si="4"/>
        <v>7.668412312415477</v>
      </c>
      <c r="K27" s="47">
        <f t="shared" si="5"/>
        <v>3059.6965126537752</v>
      </c>
    </row>
    <row r="28" spans="1:11" ht="12">
      <c r="A28" s="42">
        <v>13</v>
      </c>
      <c r="B28" s="45">
        <v>2020</v>
      </c>
      <c r="C28" s="46">
        <f t="shared" si="6"/>
        <v>40.10855081616729</v>
      </c>
      <c r="D28" s="47">
        <f t="shared" si="0"/>
        <v>14639.62104790106</v>
      </c>
      <c r="E28" s="47">
        <f t="shared" si="7"/>
        <v>496726.3208170539</v>
      </c>
      <c r="F28" s="47">
        <v>95</v>
      </c>
      <c r="G28" s="47">
        <f t="shared" si="1"/>
        <v>471890.00477620115</v>
      </c>
      <c r="H28" s="47">
        <f t="shared" si="2"/>
        <v>53.86872200641566</v>
      </c>
      <c r="I28" s="48">
        <f t="shared" si="3"/>
        <v>165.55788927568238</v>
      </c>
      <c r="J28" s="49">
        <f t="shared" si="4"/>
        <v>8.27789446378412</v>
      </c>
      <c r="K28" s="47">
        <f t="shared" si="5"/>
        <v>3302.8798910498635</v>
      </c>
    </row>
    <row r="29" spans="1:11" ht="12">
      <c r="A29" s="42">
        <v>14</v>
      </c>
      <c r="B29" s="45">
        <v>2021</v>
      </c>
      <c r="C29" s="46">
        <f t="shared" si="6"/>
        <v>41.111264586571465</v>
      </c>
      <c r="D29" s="47">
        <f t="shared" si="0"/>
        <v>15005.611574098584</v>
      </c>
      <c r="E29" s="47">
        <f t="shared" si="7"/>
        <v>533471.1519339575</v>
      </c>
      <c r="F29" s="47">
        <v>95</v>
      </c>
      <c r="G29" s="47">
        <f t="shared" si="1"/>
        <v>506797.5943372596</v>
      </c>
      <c r="H29" s="47">
        <f t="shared" si="2"/>
        <v>57.85360665950452</v>
      </c>
      <c r="I29" s="48">
        <f t="shared" si="3"/>
        <v>177.80486799728413</v>
      </c>
      <c r="J29" s="49">
        <f t="shared" si="4"/>
        <v>8.890243399864207</v>
      </c>
      <c r="K29" s="47">
        <f t="shared" si="5"/>
        <v>3547.2071165458187</v>
      </c>
    </row>
    <row r="30" spans="1:11" ht="12">
      <c r="A30" s="42">
        <v>15</v>
      </c>
      <c r="B30" s="45">
        <v>2022</v>
      </c>
      <c r="C30" s="46">
        <f t="shared" si="6"/>
        <v>42.13904620123575</v>
      </c>
      <c r="D30" s="47">
        <f t="shared" si="0"/>
        <v>15380.751863451049</v>
      </c>
      <c r="E30" s="47">
        <f t="shared" si="7"/>
        <v>570388.8175134188</v>
      </c>
      <c r="F30" s="47">
        <v>95</v>
      </c>
      <c r="G30" s="47">
        <f t="shared" si="1"/>
        <v>541869.3766377479</v>
      </c>
      <c r="H30" s="47">
        <f t="shared" si="2"/>
        <v>61.85723477599861</v>
      </c>
      <c r="I30" s="48">
        <f t="shared" si="3"/>
        <v>190.10945209958746</v>
      </c>
      <c r="J30" s="49">
        <f t="shared" si="4"/>
        <v>9.505472604979373</v>
      </c>
      <c r="K30" s="47">
        <f t="shared" si="5"/>
        <v>3792.68356938677</v>
      </c>
    </row>
    <row r="31" spans="1:11" ht="12">
      <c r="A31" s="42">
        <v>16</v>
      </c>
      <c r="B31" s="45">
        <v>2023</v>
      </c>
      <c r="C31" s="46">
        <f t="shared" si="6"/>
        <v>43.19252235626664</v>
      </c>
      <c r="D31" s="47">
        <f t="shared" si="0"/>
        <v>15765.270660037324</v>
      </c>
      <c r="E31" s="47">
        <f t="shared" si="7"/>
        <v>607480.1305065537</v>
      </c>
      <c r="F31" s="47">
        <v>95</v>
      </c>
      <c r="G31" s="47">
        <f t="shared" si="1"/>
        <v>577106.123981226</v>
      </c>
      <c r="H31" s="47">
        <f t="shared" si="2"/>
        <v>65.87969451840479</v>
      </c>
      <c r="I31" s="48">
        <f t="shared" si="3"/>
        <v>202.47191253757333</v>
      </c>
      <c r="J31" s="49">
        <f t="shared" si="4"/>
        <v>10.123595626878668</v>
      </c>
      <c r="K31" s="47">
        <f t="shared" si="5"/>
        <v>4039.314655124588</v>
      </c>
    </row>
    <row r="32" spans="1:11" ht="12">
      <c r="A32" s="42">
        <v>17</v>
      </c>
      <c r="B32" s="45">
        <v>2024</v>
      </c>
      <c r="C32" s="46">
        <f t="shared" si="6"/>
        <v>44.2723354151733</v>
      </c>
      <c r="D32" s="47">
        <f t="shared" si="0"/>
        <v>16159.402426538256</v>
      </c>
      <c r="E32" s="47">
        <f t="shared" si="7"/>
        <v>644745.9076883069</v>
      </c>
      <c r="F32" s="47">
        <v>95</v>
      </c>
      <c r="G32" s="47">
        <f t="shared" si="1"/>
        <v>612508.6123038916</v>
      </c>
      <c r="H32" s="47">
        <f t="shared" si="2"/>
        <v>69.92107446391456</v>
      </c>
      <c r="I32" s="48">
        <f t="shared" si="3"/>
        <v>214.89252154069732</v>
      </c>
      <c r="J32" s="49">
        <f t="shared" si="4"/>
        <v>10.744626077034866</v>
      </c>
      <c r="K32" s="47">
        <f t="shared" si="5"/>
        <v>4287.1058047369115</v>
      </c>
    </row>
    <row r="33" spans="1:11" ht="12">
      <c r="A33" s="42">
        <v>18</v>
      </c>
      <c r="B33" s="45">
        <v>2025</v>
      </c>
      <c r="C33" s="46">
        <f t="shared" si="6"/>
        <v>45.37914380055263</v>
      </c>
      <c r="D33" s="47">
        <f t="shared" si="0"/>
        <v>16563.38748720171</v>
      </c>
      <c r="E33" s="47">
        <f t="shared" si="7"/>
        <v>682186.9696754391</v>
      </c>
      <c r="F33" s="47">
        <v>95</v>
      </c>
      <c r="G33" s="47">
        <f t="shared" si="1"/>
        <v>648077.621191667</v>
      </c>
      <c r="H33" s="47">
        <f t="shared" si="2"/>
        <v>73.98146360635468</v>
      </c>
      <c r="I33" s="48">
        <f t="shared" si="3"/>
        <v>227.37155261888444</v>
      </c>
      <c r="J33" s="49">
        <f t="shared" si="4"/>
        <v>11.368577630944223</v>
      </c>
      <c r="K33" s="47">
        <f t="shared" si="5"/>
        <v>4536.062474746745</v>
      </c>
    </row>
    <row r="34" spans="1:11" ht="12">
      <c r="A34" s="42">
        <v>19</v>
      </c>
      <c r="B34" s="45">
        <v>2026</v>
      </c>
      <c r="C34" s="46">
        <f t="shared" si="6"/>
        <v>46.51362239556644</v>
      </c>
      <c r="D34" s="47">
        <f t="shared" si="0"/>
        <v>16977.472174381754</v>
      </c>
      <c r="E34" s="47">
        <f t="shared" si="7"/>
        <v>719804.1409445966</v>
      </c>
      <c r="F34" s="47">
        <v>95</v>
      </c>
      <c r="G34" s="47">
        <f t="shared" si="1"/>
        <v>683813.9338973669</v>
      </c>
      <c r="H34" s="47">
        <f t="shared" si="2"/>
        <v>78.06095135814691</v>
      </c>
      <c r="I34" s="48">
        <f t="shared" si="3"/>
        <v>239.90928056855216</v>
      </c>
      <c r="J34" s="49">
        <f t="shared" si="4"/>
        <v>11.995464028427609</v>
      </c>
      <c r="K34" s="47">
        <f t="shared" si="5"/>
        <v>4786.190147342615</v>
      </c>
    </row>
    <row r="35" spans="1:11" ht="12">
      <c r="A35" s="42">
        <v>20</v>
      </c>
      <c r="B35" s="45">
        <v>2027</v>
      </c>
      <c r="C35" s="46">
        <f t="shared" si="6"/>
        <v>47.6764629554556</v>
      </c>
      <c r="D35" s="47">
        <f t="shared" si="0"/>
        <v>17401.908978741292</v>
      </c>
      <c r="E35" s="47">
        <f t="shared" si="7"/>
        <v>757598.2498504673</v>
      </c>
      <c r="F35" s="47">
        <v>95</v>
      </c>
      <c r="G35" s="47">
        <f t="shared" si="1"/>
        <v>719718.337357944</v>
      </c>
      <c r="H35" s="47">
        <f t="shared" si="2"/>
        <v>82.15962755227672</v>
      </c>
      <c r="I35" s="48">
        <f t="shared" si="3"/>
        <v>252.50598147866103</v>
      </c>
      <c r="J35" s="49">
        <f t="shared" si="4"/>
        <v>12.625299073933052</v>
      </c>
      <c r="K35" s="47">
        <f t="shared" si="5"/>
        <v>5037.494330499288</v>
      </c>
    </row>
    <row r="36" spans="4:11" ht="12">
      <c r="D36" s="56">
        <f>SUM(D15:D35)</f>
        <v>288683.0921283938</v>
      </c>
      <c r="F36" s="50"/>
      <c r="J36" s="52" t="s">
        <v>258</v>
      </c>
      <c r="K36" s="53">
        <f>SUM(K15:K35)</f>
        <v>51092.34038316132</v>
      </c>
    </row>
  </sheetData>
  <sheetProtection/>
  <printOptions/>
  <pageMargins left="0.75" right="0.75" top="1" bottom="1" header="0" footer="0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7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57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PIGARS'!E32</f>
        <v>27.479400000000002</v>
      </c>
      <c r="D15" s="47">
        <f aca="true" t="shared" si="0" ref="D15:D35">+C15*365</f>
        <v>10029.981</v>
      </c>
      <c r="E15" s="47">
        <f>2*$C$3*$C$4*D15*EXP(-1*$C$3*A15)</f>
        <v>32497.138440000002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28.166385</v>
      </c>
      <c r="D16" s="47">
        <f t="shared" si="0"/>
        <v>10280.730524999999</v>
      </c>
      <c r="E16" s="47">
        <f aca="true" t="shared" si="7" ref="E16:E35">2*$C$3*$C$4*D16*EXP(-1*$C$3*A16)+E15</f>
        <v>65147.13172478281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28.870544624999997</v>
      </c>
      <c r="D17" s="47">
        <f t="shared" si="0"/>
        <v>10537.748788125</v>
      </c>
      <c r="E17" s="47">
        <f t="shared" si="7"/>
        <v>97950.69882853187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29.592308240624995</v>
      </c>
      <c r="D18" s="47">
        <f t="shared" si="0"/>
        <v>10801.192507828124</v>
      </c>
      <c r="E18" s="47">
        <f t="shared" si="7"/>
        <v>130908.5621072264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30.332115946640616</v>
      </c>
      <c r="D19" s="47">
        <f t="shared" si="0"/>
        <v>11071.222320523824</v>
      </c>
      <c r="E19" s="47">
        <f t="shared" si="7"/>
        <v>164021.44731454825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31.09041884530663</v>
      </c>
      <c r="D20" s="47">
        <f t="shared" si="0"/>
        <v>11348.00287853692</v>
      </c>
      <c r="E20" s="47">
        <f t="shared" si="7"/>
        <v>197290.0836178634</v>
      </c>
      <c r="F20" s="47">
        <v>95</v>
      </c>
      <c r="G20" s="47">
        <f t="shared" si="1"/>
        <v>187425.5794369702</v>
      </c>
      <c r="H20" s="47">
        <f t="shared" si="2"/>
        <v>21.395614090978334</v>
      </c>
      <c r="I20" s="48">
        <f t="shared" si="3"/>
        <v>65.75639028966663</v>
      </c>
      <c r="J20" s="49">
        <f t="shared" si="4"/>
        <v>3.2878195144833313</v>
      </c>
      <c r="K20" s="47">
        <f t="shared" si="5"/>
        <v>1311.8399862788492</v>
      </c>
    </row>
    <row r="21" spans="1:11" ht="12">
      <c r="A21" s="42">
        <v>6</v>
      </c>
      <c r="B21" s="45">
        <v>2013</v>
      </c>
      <c r="C21" s="46">
        <f t="shared" si="6"/>
        <v>31.867679316439293</v>
      </c>
      <c r="D21" s="47">
        <f t="shared" si="0"/>
        <v>11631.702950500343</v>
      </c>
      <c r="E21" s="47">
        <f t="shared" si="7"/>
        <v>230715.20361427873</v>
      </c>
      <c r="F21" s="47">
        <v>95</v>
      </c>
      <c r="G21" s="47">
        <f t="shared" si="1"/>
        <v>219179.4434335648</v>
      </c>
      <c r="H21" s="47">
        <f t="shared" si="2"/>
        <v>25.02048441022429</v>
      </c>
      <c r="I21" s="48">
        <f t="shared" si="3"/>
        <v>76.89691593423187</v>
      </c>
      <c r="J21" s="49">
        <f t="shared" si="4"/>
        <v>3.844845796711594</v>
      </c>
      <c r="K21" s="47">
        <f t="shared" si="5"/>
        <v>1534.0934728879258</v>
      </c>
    </row>
    <row r="22" spans="1:11" ht="12">
      <c r="A22" s="42">
        <v>7</v>
      </c>
      <c r="B22" s="45">
        <v>2014</v>
      </c>
      <c r="C22" s="46">
        <f t="shared" si="6"/>
        <v>32.66437129935027</v>
      </c>
      <c r="D22" s="47">
        <f t="shared" si="0"/>
        <v>11922.49552426285</v>
      </c>
      <c r="E22" s="47">
        <f t="shared" si="7"/>
        <v>264297.54334677424</v>
      </c>
      <c r="F22" s="47">
        <v>95</v>
      </c>
      <c r="G22" s="47">
        <f t="shared" si="1"/>
        <v>251082.6661794355</v>
      </c>
      <c r="H22" s="47">
        <f t="shared" si="2"/>
        <v>28.662404815004052</v>
      </c>
      <c r="I22" s="48">
        <f t="shared" si="3"/>
        <v>88.08984260239315</v>
      </c>
      <c r="J22" s="49">
        <f t="shared" si="4"/>
        <v>4.404492130119658</v>
      </c>
      <c r="K22" s="47">
        <f t="shared" si="5"/>
        <v>1757.392359917743</v>
      </c>
    </row>
    <row r="23" spans="1:11" ht="12">
      <c r="A23" s="42">
        <v>8</v>
      </c>
      <c r="B23" s="45">
        <v>2015</v>
      </c>
      <c r="C23" s="46">
        <f t="shared" si="6"/>
        <v>33.480980581834025</v>
      </c>
      <c r="D23" s="47">
        <f t="shared" si="0"/>
        <v>12220.557912369419</v>
      </c>
      <c r="E23" s="47">
        <f t="shared" si="7"/>
        <v>298037.8423204113</v>
      </c>
      <c r="F23" s="47">
        <v>95</v>
      </c>
      <c r="G23" s="47">
        <f t="shared" si="1"/>
        <v>283135.95020439074</v>
      </c>
      <c r="H23" s="47">
        <f t="shared" si="2"/>
        <v>32.32145550278433</v>
      </c>
      <c r="I23" s="48">
        <f t="shared" si="3"/>
        <v>99.33541676970844</v>
      </c>
      <c r="J23" s="49">
        <f t="shared" si="4"/>
        <v>4.966770838485423</v>
      </c>
      <c r="K23" s="47">
        <f t="shared" si="5"/>
        <v>1981.7415645556837</v>
      </c>
    </row>
    <row r="24" spans="1:11" ht="12">
      <c r="A24" s="42">
        <v>9</v>
      </c>
      <c r="B24" s="45">
        <v>2016</v>
      </c>
      <c r="C24" s="46">
        <f t="shared" si="6"/>
        <v>34.31800509637987</v>
      </c>
      <c r="D24" s="47">
        <f t="shared" si="0"/>
        <v>12526.071860178652</v>
      </c>
      <c r="E24" s="47">
        <f t="shared" si="7"/>
        <v>331936.8435186169</v>
      </c>
      <c r="F24" s="47">
        <v>95</v>
      </c>
      <c r="G24" s="47">
        <f t="shared" si="1"/>
        <v>315340.00134268607</v>
      </c>
      <c r="H24" s="47">
        <f t="shared" si="2"/>
        <v>35.997717048251836</v>
      </c>
      <c r="I24" s="48">
        <f t="shared" si="3"/>
        <v>110.63388607106796</v>
      </c>
      <c r="J24" s="49">
        <f t="shared" si="4"/>
        <v>5.531694303553398</v>
      </c>
      <c r="K24" s="47">
        <f t="shared" si="5"/>
        <v>2207.1460271178057</v>
      </c>
    </row>
    <row r="25" spans="1:11" ht="12">
      <c r="A25" s="42">
        <v>10</v>
      </c>
      <c r="B25" s="45">
        <v>2017</v>
      </c>
      <c r="C25" s="46">
        <f t="shared" si="6"/>
        <v>35.175955223789366</v>
      </c>
      <c r="D25" s="47">
        <f t="shared" si="0"/>
        <v>12839.223656683118</v>
      </c>
      <c r="E25" s="47">
        <f t="shared" si="7"/>
        <v>365995.2934195448</v>
      </c>
      <c r="F25" s="47">
        <v>95</v>
      </c>
      <c r="G25" s="47">
        <f t="shared" si="1"/>
        <v>347695.52874856757</v>
      </c>
      <c r="H25" s="47">
        <f t="shared" si="2"/>
        <v>39.69127040508762</v>
      </c>
      <c r="I25" s="48">
        <f t="shared" si="3"/>
        <v>121.98549930614743</v>
      </c>
      <c r="J25" s="49">
        <f t="shared" si="4"/>
        <v>6.099274965307372</v>
      </c>
      <c r="K25" s="47">
        <f t="shared" si="5"/>
        <v>2433.610711157641</v>
      </c>
    </row>
    <row r="26" spans="1:11" ht="12">
      <c r="A26" s="42">
        <v>11</v>
      </c>
      <c r="B26" s="45">
        <v>2018</v>
      </c>
      <c r="C26" s="46">
        <f t="shared" si="6"/>
        <v>36.055354104384094</v>
      </c>
      <c r="D26" s="47">
        <f t="shared" si="0"/>
        <v>13160.204248100194</v>
      </c>
      <c r="E26" s="47">
        <f t="shared" si="7"/>
        <v>400213.9420125133</v>
      </c>
      <c r="F26" s="47">
        <v>95</v>
      </c>
      <c r="G26" s="47">
        <f t="shared" si="1"/>
        <v>380203.2449118876</v>
      </c>
      <c r="H26" s="47">
        <f t="shared" si="2"/>
        <v>43.402196907749726</v>
      </c>
      <c r="I26" s="48">
        <f t="shared" si="3"/>
        <v>133.39050644488665</v>
      </c>
      <c r="J26" s="49">
        <f t="shared" si="4"/>
        <v>6.669525322244333</v>
      </c>
      <c r="K26" s="47">
        <f t="shared" si="5"/>
        <v>2661.1406035754885</v>
      </c>
    </row>
    <row r="27" spans="1:11" ht="12">
      <c r="A27" s="42">
        <v>12</v>
      </c>
      <c r="B27" s="45">
        <v>2019</v>
      </c>
      <c r="C27" s="46">
        <f t="shared" si="6"/>
        <v>36.95673795699369</v>
      </c>
      <c r="D27" s="47">
        <f t="shared" si="0"/>
        <v>13489.209354302697</v>
      </c>
      <c r="E27" s="47">
        <f t="shared" si="7"/>
        <v>434593.5428145205</v>
      </c>
      <c r="F27" s="47">
        <v>95</v>
      </c>
      <c r="G27" s="47">
        <f t="shared" si="1"/>
        <v>412863.86567379447</v>
      </c>
      <c r="H27" s="47">
        <f t="shared" si="2"/>
        <v>47.130578273264206</v>
      </c>
      <c r="I27" s="48">
        <f t="shared" si="3"/>
        <v>144.84915863299403</v>
      </c>
      <c r="J27" s="49">
        <f t="shared" si="4"/>
        <v>7.242457931649702</v>
      </c>
      <c r="K27" s="47">
        <f t="shared" si="5"/>
        <v>2889.7407147282306</v>
      </c>
    </row>
    <row r="28" spans="1:11" ht="12">
      <c r="A28" s="42">
        <v>13</v>
      </c>
      <c r="B28" s="45">
        <v>2020</v>
      </c>
      <c r="C28" s="46">
        <f t="shared" si="6"/>
        <v>37.88065640591853</v>
      </c>
      <c r="D28" s="47">
        <f t="shared" si="0"/>
        <v>13826.439588160263</v>
      </c>
      <c r="E28" s="47">
        <f t="shared" si="7"/>
        <v>469134.8528868374</v>
      </c>
      <c r="F28" s="47">
        <v>95</v>
      </c>
      <c r="G28" s="47">
        <f t="shared" si="1"/>
        <v>445678.11024249555</v>
      </c>
      <c r="H28" s="47">
        <f t="shared" si="2"/>
        <v>50.876496603024606</v>
      </c>
      <c r="I28" s="48">
        <f t="shared" si="3"/>
        <v>156.36170819747713</v>
      </c>
      <c r="J28" s="49">
        <f t="shared" si="4"/>
        <v>7.818085409873857</v>
      </c>
      <c r="K28" s="47">
        <f t="shared" si="5"/>
        <v>3119.416078539669</v>
      </c>
    </row>
    <row r="29" spans="1:11" ht="12">
      <c r="A29" s="42">
        <v>14</v>
      </c>
      <c r="B29" s="45">
        <v>2021</v>
      </c>
      <c r="C29" s="46">
        <f t="shared" si="6"/>
        <v>38.82767281606649</v>
      </c>
      <c r="D29" s="47">
        <f t="shared" si="0"/>
        <v>14172.100577864268</v>
      </c>
      <c r="E29" s="47">
        <f t="shared" si="7"/>
        <v>503838.6328516787</v>
      </c>
      <c r="F29" s="47">
        <v>95</v>
      </c>
      <c r="G29" s="47">
        <f t="shared" si="1"/>
        <v>478646.7012090947</v>
      </c>
      <c r="H29" s="47">
        <f t="shared" si="2"/>
        <v>54.64003438459986</v>
      </c>
      <c r="I29" s="48">
        <f t="shared" si="3"/>
        <v>167.92840865219878</v>
      </c>
      <c r="J29" s="49">
        <f t="shared" si="4"/>
        <v>8.39642043260994</v>
      </c>
      <c r="K29" s="47">
        <f t="shared" si="5"/>
        <v>3350.1717526113657</v>
      </c>
    </row>
    <row r="30" spans="1:11" ht="12">
      <c r="A30" s="42">
        <v>15</v>
      </c>
      <c r="B30" s="45">
        <v>2022</v>
      </c>
      <c r="C30" s="46">
        <f t="shared" si="6"/>
        <v>39.79836463646815</v>
      </c>
      <c r="D30" s="47">
        <f t="shared" si="0"/>
        <v>14526.403092310875</v>
      </c>
      <c r="E30" s="47">
        <f t="shared" si="7"/>
        <v>538705.6469089524</v>
      </c>
      <c r="F30" s="47">
        <v>95</v>
      </c>
      <c r="G30" s="47">
        <f t="shared" si="1"/>
        <v>511770.36456350476</v>
      </c>
      <c r="H30" s="47">
        <f t="shared" si="2"/>
        <v>58.42127449355077</v>
      </c>
      <c r="I30" s="48">
        <f t="shared" si="3"/>
        <v>179.54951470346</v>
      </c>
      <c r="J30" s="49">
        <f t="shared" si="4"/>
        <v>8.977475735173</v>
      </c>
      <c r="K30" s="47">
        <f t="shared" si="5"/>
        <v>3582.0128183340275</v>
      </c>
    </row>
    <row r="31" spans="1:11" ht="12">
      <c r="A31" s="42">
        <v>16</v>
      </c>
      <c r="B31" s="45">
        <v>2023</v>
      </c>
      <c r="C31" s="46">
        <f t="shared" si="6"/>
        <v>40.79332375237985</v>
      </c>
      <c r="D31" s="47">
        <f t="shared" si="0"/>
        <v>14889.563169618645</v>
      </c>
      <c r="E31" s="47">
        <f t="shared" si="7"/>
        <v>573736.6628530878</v>
      </c>
      <c r="F31" s="47">
        <v>95</v>
      </c>
      <c r="G31" s="47">
        <f t="shared" si="1"/>
        <v>545049.8297104334</v>
      </c>
      <c r="H31" s="47">
        <f t="shared" si="2"/>
        <v>62.22030019525495</v>
      </c>
      <c r="I31" s="48">
        <f t="shared" si="3"/>
        <v>191.22528225560842</v>
      </c>
      <c r="J31" s="49">
        <f t="shared" si="4"/>
        <v>9.561264112780421</v>
      </c>
      <c r="K31" s="47">
        <f t="shared" si="5"/>
        <v>3814.944380999388</v>
      </c>
    </row>
    <row r="32" spans="1:11" ht="12">
      <c r="A32" s="42">
        <v>17</v>
      </c>
      <c r="B32" s="45">
        <v>2024</v>
      </c>
      <c r="C32" s="46">
        <f t="shared" si="6"/>
        <v>41.813156846189344</v>
      </c>
      <c r="D32" s="47">
        <f t="shared" si="0"/>
        <v>15261.80224885911</v>
      </c>
      <c r="E32" s="47">
        <f t="shared" si="7"/>
        <v>608932.4520899428</v>
      </c>
      <c r="F32" s="47">
        <v>95</v>
      </c>
      <c r="G32" s="47">
        <f t="shared" si="1"/>
        <v>578485.8294854456</v>
      </c>
      <c r="H32" s="47">
        <f t="shared" si="2"/>
        <v>66.03719514674037</v>
      </c>
      <c r="I32" s="48">
        <f t="shared" si="3"/>
        <v>202.95596841667373</v>
      </c>
      <c r="J32" s="49">
        <f t="shared" si="4"/>
        <v>10.147798420833688</v>
      </c>
      <c r="K32" s="47">
        <f t="shared" si="5"/>
        <v>4048.971569912641</v>
      </c>
    </row>
    <row r="33" spans="1:11" ht="12">
      <c r="A33" s="42">
        <v>18</v>
      </c>
      <c r="B33" s="45">
        <v>2025</v>
      </c>
      <c r="C33" s="46">
        <f t="shared" si="6"/>
        <v>42.85848576734407</v>
      </c>
      <c r="D33" s="47">
        <f t="shared" si="0"/>
        <v>15643.347305080586</v>
      </c>
      <c r="E33" s="47">
        <f t="shared" si="7"/>
        <v>644293.789653791</v>
      </c>
      <c r="F33" s="47">
        <v>95</v>
      </c>
      <c r="G33" s="47">
        <f t="shared" si="1"/>
        <v>612079.1001711015</v>
      </c>
      <c r="H33" s="47">
        <f t="shared" si="2"/>
        <v>69.87204339852757</v>
      </c>
      <c r="I33" s="48">
        <f t="shared" si="3"/>
        <v>214.74183150402925</v>
      </c>
      <c r="J33" s="49">
        <f t="shared" si="4"/>
        <v>10.737091575201463</v>
      </c>
      <c r="K33" s="47">
        <f t="shared" si="5"/>
        <v>4284.099538505383</v>
      </c>
    </row>
    <row r="34" spans="1:11" ht="12">
      <c r="A34" s="42">
        <v>19</v>
      </c>
      <c r="B34" s="45">
        <v>2026</v>
      </c>
      <c r="C34" s="46">
        <f t="shared" si="6"/>
        <v>43.92994791152767</v>
      </c>
      <c r="D34" s="47">
        <f t="shared" si="0"/>
        <v>16034.4309877076</v>
      </c>
      <c r="E34" s="47">
        <f t="shared" si="7"/>
        <v>679821.4542243882</v>
      </c>
      <c r="F34" s="47">
        <v>95</v>
      </c>
      <c r="G34" s="47">
        <f t="shared" si="1"/>
        <v>645830.3815131688</v>
      </c>
      <c r="H34" s="47">
        <f t="shared" si="2"/>
        <v>73.72492939648046</v>
      </c>
      <c r="I34" s="48">
        <f t="shared" si="3"/>
        <v>226.5831310500801</v>
      </c>
      <c r="J34" s="49">
        <f t="shared" si="4"/>
        <v>11.329156552504006</v>
      </c>
      <c r="K34" s="47">
        <f t="shared" si="5"/>
        <v>4520.333464449099</v>
      </c>
    </row>
    <row r="35" spans="1:11" ht="12">
      <c r="A35" s="42">
        <v>20</v>
      </c>
      <c r="B35" s="45">
        <v>2027</v>
      </c>
      <c r="C35" s="46">
        <f t="shared" si="6"/>
        <v>45.028196609315856</v>
      </c>
      <c r="D35" s="47">
        <f t="shared" si="0"/>
        <v>16435.291762400288</v>
      </c>
      <c r="E35" s="47">
        <f t="shared" si="7"/>
        <v>715516.2281441197</v>
      </c>
      <c r="F35" s="47">
        <v>95</v>
      </c>
      <c r="G35" s="47">
        <f t="shared" si="1"/>
        <v>679740.4167369137</v>
      </c>
      <c r="H35" s="47">
        <f t="shared" si="2"/>
        <v>77.59593798366595</v>
      </c>
      <c r="I35" s="48">
        <f t="shared" si="3"/>
        <v>238.4801278079788</v>
      </c>
      <c r="J35" s="49">
        <f t="shared" si="4"/>
        <v>11.92400639039894</v>
      </c>
      <c r="K35" s="47">
        <f t="shared" si="5"/>
        <v>4757.678549769177</v>
      </c>
    </row>
    <row r="36" spans="4:11" ht="12">
      <c r="D36" s="56">
        <f>SUM(D15:D35)</f>
        <v>272647.72225841274</v>
      </c>
      <c r="F36" s="50"/>
      <c r="J36" s="52" t="s">
        <v>258</v>
      </c>
      <c r="K36" s="53">
        <f>SUM(K15:K35)</f>
        <v>48254.33359334011</v>
      </c>
    </row>
  </sheetData>
  <sheetProtection/>
  <printOptions/>
  <pageMargins left="0.75" right="0.75" top="1" bottom="1" header="0" footer="0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2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149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PIGARS'!E33</f>
        <v>25.67916</v>
      </c>
      <c r="D15" s="47">
        <f aca="true" t="shared" si="0" ref="D15:D35">+C15*365</f>
        <v>9372.893399999999</v>
      </c>
      <c r="E15" s="47">
        <f>2*$C$3*$C$4*D15*EXP(-1*$C$3*A15)</f>
        <v>30368.174616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26.321139</v>
      </c>
      <c r="D16" s="47">
        <f t="shared" si="0"/>
        <v>9607.215735</v>
      </c>
      <c r="E16" s="47">
        <f aca="true" t="shared" si="7" ref="E16:E35">2*$C$3*$C$4*D16*EXP(-1*$C$3*A16)+E15</f>
        <v>60879.190197084856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26.979167474999997</v>
      </c>
      <c r="D17" s="47">
        <f t="shared" si="0"/>
        <v>9847.396128375</v>
      </c>
      <c r="E17" s="47">
        <f t="shared" si="7"/>
        <v>91533.71861575151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27.653646661874994</v>
      </c>
      <c r="D18" s="47">
        <f t="shared" si="0"/>
        <v>10093.581031584374</v>
      </c>
      <c r="E18" s="47">
        <f t="shared" si="7"/>
        <v>122332.43490474332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28.344987828421868</v>
      </c>
      <c r="D19" s="47">
        <f t="shared" si="0"/>
        <v>10345.920557373982</v>
      </c>
      <c r="E19" s="47">
        <f t="shared" si="7"/>
        <v>153276.01727191475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29.05361252413241</v>
      </c>
      <c r="D20" s="47">
        <f t="shared" si="0"/>
        <v>10604.56857130833</v>
      </c>
      <c r="E20" s="47">
        <f t="shared" si="7"/>
        <v>184365.14711516598</v>
      </c>
      <c r="F20" s="47">
        <v>95</v>
      </c>
      <c r="G20" s="47">
        <f t="shared" si="1"/>
        <v>175146.88975940767</v>
      </c>
      <c r="H20" s="47">
        <f t="shared" si="2"/>
        <v>19.993937187146994</v>
      </c>
      <c r="I20" s="48">
        <f t="shared" si="3"/>
        <v>61.44853480319058</v>
      </c>
      <c r="J20" s="49">
        <f t="shared" si="4"/>
        <v>3.0724267401595293</v>
      </c>
      <c r="K20" s="47">
        <f t="shared" si="5"/>
        <v>1225.8982693236521</v>
      </c>
    </row>
    <row r="21" spans="1:11" ht="12">
      <c r="A21" s="42">
        <v>6</v>
      </c>
      <c r="B21" s="45">
        <v>2013</v>
      </c>
      <c r="C21" s="46">
        <f t="shared" si="6"/>
        <v>29.77995283723572</v>
      </c>
      <c r="D21" s="47">
        <f t="shared" si="0"/>
        <v>10869.682785591038</v>
      </c>
      <c r="E21" s="47">
        <f t="shared" si="7"/>
        <v>215600.50903744771</v>
      </c>
      <c r="F21" s="47">
        <v>95</v>
      </c>
      <c r="G21" s="47">
        <f t="shared" si="1"/>
        <v>204820.48358557533</v>
      </c>
      <c r="H21" s="47">
        <f t="shared" si="2"/>
        <v>23.381333742645587</v>
      </c>
      <c r="I21" s="48">
        <f t="shared" si="3"/>
        <v>71.85921846116325</v>
      </c>
      <c r="J21" s="49">
        <f t="shared" si="4"/>
        <v>3.592960923058163</v>
      </c>
      <c r="K21" s="47">
        <f t="shared" si="5"/>
        <v>1433.591408300207</v>
      </c>
    </row>
    <row r="22" spans="1:11" ht="12">
      <c r="A22" s="42">
        <v>7</v>
      </c>
      <c r="B22" s="45">
        <v>2014</v>
      </c>
      <c r="C22" s="46">
        <f t="shared" si="6"/>
        <v>30.52445165816661</v>
      </c>
      <c r="D22" s="47">
        <f t="shared" si="0"/>
        <v>11141.424855230813</v>
      </c>
      <c r="E22" s="47">
        <f t="shared" si="7"/>
        <v>246982.79086183652</v>
      </c>
      <c r="F22" s="47">
        <v>95</v>
      </c>
      <c r="G22" s="47">
        <f t="shared" si="1"/>
        <v>234633.65131874467</v>
      </c>
      <c r="H22" s="47">
        <f t="shared" si="2"/>
        <v>26.784663392550762</v>
      </c>
      <c r="I22" s="48">
        <f t="shared" si="3"/>
        <v>82.31887022866837</v>
      </c>
      <c r="J22" s="49">
        <f t="shared" si="4"/>
        <v>4.115943511433419</v>
      </c>
      <c r="K22" s="47">
        <f t="shared" si="5"/>
        <v>1642.2614610619341</v>
      </c>
    </row>
    <row r="23" spans="1:11" ht="12">
      <c r="A23" s="42">
        <v>8</v>
      </c>
      <c r="B23" s="45">
        <v>2015</v>
      </c>
      <c r="C23" s="46">
        <f t="shared" si="6"/>
        <v>31.28756294962077</v>
      </c>
      <c r="D23" s="47">
        <f t="shared" si="0"/>
        <v>11419.96047661158</v>
      </c>
      <c r="E23" s="47">
        <f t="shared" si="7"/>
        <v>278512.68364668125</v>
      </c>
      <c r="F23" s="47">
        <v>95</v>
      </c>
      <c r="G23" s="47">
        <f t="shared" si="1"/>
        <v>264587.0494643472</v>
      </c>
      <c r="H23" s="47">
        <f t="shared" si="2"/>
        <v>30.20400108040493</v>
      </c>
      <c r="I23" s="48">
        <f t="shared" si="3"/>
        <v>92.82772043407155</v>
      </c>
      <c r="J23" s="49">
        <f t="shared" si="4"/>
        <v>4.641386021703577</v>
      </c>
      <c r="K23" s="47">
        <f t="shared" si="5"/>
        <v>1851.9130226597274</v>
      </c>
    </row>
    <row r="24" spans="1:11" ht="12">
      <c r="A24" s="42">
        <v>9</v>
      </c>
      <c r="B24" s="45">
        <v>2016</v>
      </c>
      <c r="C24" s="46">
        <f t="shared" si="6"/>
        <v>32.06975202336129</v>
      </c>
      <c r="D24" s="47">
        <f t="shared" si="0"/>
        <v>11705.45948852687</v>
      </c>
      <c r="E24" s="47">
        <f t="shared" si="7"/>
        <v>310190.8817008205</v>
      </c>
      <c r="F24" s="47">
        <v>95</v>
      </c>
      <c r="G24" s="47">
        <f t="shared" si="1"/>
        <v>294681.3376157795</v>
      </c>
      <c r="H24" s="47">
        <f t="shared" si="2"/>
        <v>33.63942210225793</v>
      </c>
      <c r="I24" s="48">
        <f t="shared" si="3"/>
        <v>103.38600048912006</v>
      </c>
      <c r="J24" s="49">
        <f t="shared" si="4"/>
        <v>5.169300024456003</v>
      </c>
      <c r="K24" s="47">
        <f t="shared" si="5"/>
        <v>2062.5507097579452</v>
      </c>
    </row>
    <row r="25" spans="1:11" ht="12">
      <c r="A25" s="42">
        <v>10</v>
      </c>
      <c r="B25" s="45">
        <v>2017</v>
      </c>
      <c r="C25" s="46">
        <f t="shared" si="6"/>
        <v>32.87149582394532</v>
      </c>
      <c r="D25" s="47">
        <f t="shared" si="0"/>
        <v>11998.095975740041</v>
      </c>
      <c r="E25" s="47">
        <f t="shared" si="7"/>
        <v>342018.08259887184</v>
      </c>
      <c r="F25" s="47">
        <v>95</v>
      </c>
      <c r="G25" s="47">
        <f t="shared" si="1"/>
        <v>324917.17846892826</v>
      </c>
      <c r="H25" s="47">
        <f t="shared" si="2"/>
        <v>37.09100210832514</v>
      </c>
      <c r="I25" s="48">
        <f t="shared" si="3"/>
        <v>113.99394289403878</v>
      </c>
      <c r="J25" s="49">
        <f t="shared" si="4"/>
        <v>5.69969714470194</v>
      </c>
      <c r="K25" s="47">
        <f t="shared" si="5"/>
        <v>2274.1791607360738</v>
      </c>
    </row>
    <row r="26" spans="1:11" ht="12">
      <c r="A26" s="42">
        <v>11</v>
      </c>
      <c r="B26" s="45">
        <v>2018</v>
      </c>
      <c r="C26" s="46">
        <f t="shared" si="6"/>
        <v>33.69328321954395</v>
      </c>
      <c r="D26" s="47">
        <f t="shared" si="0"/>
        <v>12298.048375133541</v>
      </c>
      <c r="E26" s="47">
        <f t="shared" si="7"/>
        <v>373994.9871965928</v>
      </c>
      <c r="F26" s="47">
        <v>95</v>
      </c>
      <c r="G26" s="47">
        <f t="shared" si="1"/>
        <v>355295.2378367631</v>
      </c>
      <c r="H26" s="47">
        <f t="shared" si="2"/>
        <v>40.55881710465332</v>
      </c>
      <c r="I26" s="48">
        <f t="shared" si="3"/>
        <v>124.65178124264995</v>
      </c>
      <c r="J26" s="49">
        <f t="shared" si="4"/>
        <v>6.232589062132497</v>
      </c>
      <c r="K26" s="47">
        <f t="shared" si="5"/>
        <v>2486.8030357908665</v>
      </c>
    </row>
    <row r="27" spans="1:11" ht="12">
      <c r="A27" s="42">
        <v>12</v>
      </c>
      <c r="B27" s="45">
        <v>2019</v>
      </c>
      <c r="C27" s="46">
        <f t="shared" si="6"/>
        <v>34.535615300032546</v>
      </c>
      <c r="D27" s="47">
        <f t="shared" si="0"/>
        <v>12605.49958451188</v>
      </c>
      <c r="E27" s="47">
        <f t="shared" si="7"/>
        <v>406122.2996463141</v>
      </c>
      <c r="F27" s="47">
        <v>95</v>
      </c>
      <c r="G27" s="47">
        <f t="shared" si="1"/>
        <v>385816.1846639984</v>
      </c>
      <c r="H27" s="47">
        <f t="shared" si="2"/>
        <v>44.04294345479434</v>
      </c>
      <c r="I27" s="48">
        <f t="shared" si="3"/>
        <v>135.3597502275172</v>
      </c>
      <c r="J27" s="49">
        <f t="shared" si="4"/>
        <v>6.7679875113758605</v>
      </c>
      <c r="K27" s="47">
        <f t="shared" si="5"/>
        <v>2700.427017038968</v>
      </c>
    </row>
    <row r="28" spans="1:11" ht="12">
      <c r="A28" s="42">
        <v>13</v>
      </c>
      <c r="B28" s="45">
        <v>2020</v>
      </c>
      <c r="C28" s="46">
        <f t="shared" si="6"/>
        <v>35.39900568253336</v>
      </c>
      <c r="D28" s="47">
        <f t="shared" si="0"/>
        <v>12920.637074124676</v>
      </c>
      <c r="E28" s="47">
        <f t="shared" si="7"/>
        <v>438400.72741244576</v>
      </c>
      <c r="F28" s="47">
        <v>95</v>
      </c>
      <c r="G28" s="47">
        <f t="shared" si="1"/>
        <v>416480.6910418235</v>
      </c>
      <c r="H28" s="47">
        <f t="shared" si="2"/>
        <v>47.543457881486695</v>
      </c>
      <c r="I28" s="48">
        <f t="shared" si="3"/>
        <v>146.11808564511333</v>
      </c>
      <c r="J28" s="49">
        <f t="shared" si="4"/>
        <v>7.305904282255667</v>
      </c>
      <c r="K28" s="47">
        <f t="shared" si="5"/>
        <v>2915.0558086200112</v>
      </c>
    </row>
    <row r="29" spans="1:11" ht="12">
      <c r="A29" s="42">
        <v>14</v>
      </c>
      <c r="B29" s="45">
        <v>2021</v>
      </c>
      <c r="C29" s="46">
        <f t="shared" si="6"/>
        <v>36.28398082459669</v>
      </c>
      <c r="D29" s="47">
        <f t="shared" si="0"/>
        <v>13243.65300097779</v>
      </c>
      <c r="E29" s="47">
        <f t="shared" si="7"/>
        <v>470830.98128705565</v>
      </c>
      <c r="F29" s="47">
        <v>95</v>
      </c>
      <c r="G29" s="47">
        <f t="shared" si="1"/>
        <v>447289.4322227029</v>
      </c>
      <c r="H29" s="47">
        <f t="shared" si="2"/>
        <v>51.06043746834508</v>
      </c>
      <c r="I29" s="48">
        <f t="shared" si="3"/>
        <v>156.92702440101306</v>
      </c>
      <c r="J29" s="49">
        <f t="shared" si="4"/>
        <v>7.8463512200506536</v>
      </c>
      <c r="K29" s="47">
        <f t="shared" si="5"/>
        <v>3130.6941368002103</v>
      </c>
    </row>
    <row r="30" spans="1:11" ht="12">
      <c r="A30" s="42">
        <v>15</v>
      </c>
      <c r="B30" s="45">
        <v>2022</v>
      </c>
      <c r="C30" s="46">
        <f t="shared" si="6"/>
        <v>37.1910803452116</v>
      </c>
      <c r="D30" s="47">
        <f t="shared" si="0"/>
        <v>13574.744326002236</v>
      </c>
      <c r="E30" s="47">
        <f t="shared" si="7"/>
        <v>503413.7754055219</v>
      </c>
      <c r="F30" s="47">
        <v>95</v>
      </c>
      <c r="G30" s="47">
        <f t="shared" si="1"/>
        <v>478243.0866352458</v>
      </c>
      <c r="H30" s="47">
        <f t="shared" si="2"/>
        <v>54.59395966155774</v>
      </c>
      <c r="I30" s="48">
        <f t="shared" si="3"/>
        <v>167.78680451510962</v>
      </c>
      <c r="J30" s="49">
        <f t="shared" si="4"/>
        <v>8.38934022575548</v>
      </c>
      <c r="K30" s="47">
        <f t="shared" si="5"/>
        <v>3347.346750076437</v>
      </c>
    </row>
    <row r="31" spans="1:11" ht="12">
      <c r="A31" s="42">
        <v>16</v>
      </c>
      <c r="B31" s="45">
        <v>2023</v>
      </c>
      <c r="C31" s="46">
        <f t="shared" si="6"/>
        <v>38.12085735384189</v>
      </c>
      <c r="D31" s="47">
        <f t="shared" si="0"/>
        <v>13914.11293415229</v>
      </c>
      <c r="E31" s="47">
        <f t="shared" si="7"/>
        <v>536149.8272622584</v>
      </c>
      <c r="F31" s="47">
        <v>95</v>
      </c>
      <c r="G31" s="47">
        <f t="shared" si="1"/>
        <v>509342.33589914546</v>
      </c>
      <c r="H31" s="47">
        <f t="shared" si="2"/>
        <v>58.14410227159195</v>
      </c>
      <c r="I31" s="48">
        <f t="shared" si="3"/>
        <v>178.69766512685618</v>
      </c>
      <c r="J31" s="49">
        <f t="shared" si="4"/>
        <v>8.93488325634281</v>
      </c>
      <c r="K31" s="47">
        <f t="shared" si="5"/>
        <v>3565.018419280781</v>
      </c>
    </row>
    <row r="32" spans="1:11" ht="12">
      <c r="A32" s="42">
        <v>17</v>
      </c>
      <c r="B32" s="45">
        <v>2024</v>
      </c>
      <c r="C32" s="46">
        <f t="shared" si="6"/>
        <v>39.07387878768794</v>
      </c>
      <c r="D32" s="47">
        <f t="shared" si="0"/>
        <v>14261.965757506097</v>
      </c>
      <c r="E32" s="47">
        <f t="shared" si="7"/>
        <v>569039.8577265145</v>
      </c>
      <c r="F32" s="47">
        <v>95</v>
      </c>
      <c r="G32" s="47">
        <f t="shared" si="1"/>
        <v>540587.8648401886</v>
      </c>
      <c r="H32" s="47">
        <f t="shared" si="2"/>
        <v>61.71094347490738</v>
      </c>
      <c r="I32" s="48">
        <f t="shared" si="3"/>
        <v>189.65984650053178</v>
      </c>
      <c r="J32" s="49">
        <f t="shared" si="4"/>
        <v>9.48299232502659</v>
      </c>
      <c r="K32" s="47">
        <f t="shared" si="5"/>
        <v>3783.713937685609</v>
      </c>
    </row>
    <row r="33" spans="1:11" ht="12">
      <c r="A33" s="42">
        <v>18</v>
      </c>
      <c r="B33" s="45">
        <v>2025</v>
      </c>
      <c r="C33" s="46">
        <f t="shared" si="6"/>
        <v>40.050725757380135</v>
      </c>
      <c r="D33" s="47">
        <f t="shared" si="0"/>
        <v>14618.51490144375</v>
      </c>
      <c r="E33" s="47">
        <f t="shared" si="7"/>
        <v>602084.5910582491</v>
      </c>
      <c r="F33" s="47">
        <v>95</v>
      </c>
      <c r="G33" s="47">
        <f t="shared" si="1"/>
        <v>571980.3615053367</v>
      </c>
      <c r="H33" s="47">
        <f t="shared" si="2"/>
        <v>65.29456181567771</v>
      </c>
      <c r="I33" s="48">
        <f t="shared" si="3"/>
        <v>200.67359003053232</v>
      </c>
      <c r="J33" s="49">
        <f t="shared" si="4"/>
        <v>10.033679501526617</v>
      </c>
      <c r="K33" s="47">
        <f t="shared" si="5"/>
        <v>4003.43812110912</v>
      </c>
    </row>
    <row r="34" spans="1:11" ht="12">
      <c r="A34" s="42">
        <v>19</v>
      </c>
      <c r="B34" s="45">
        <v>2026</v>
      </c>
      <c r="C34" s="46">
        <f t="shared" si="6"/>
        <v>41.05199390131464</v>
      </c>
      <c r="D34" s="47">
        <f t="shared" si="0"/>
        <v>14983.977773979843</v>
      </c>
      <c r="E34" s="47">
        <f t="shared" si="7"/>
        <v>635284.7549240794</v>
      </c>
      <c r="F34" s="47">
        <v>95</v>
      </c>
      <c r="G34" s="47">
        <f t="shared" si="1"/>
        <v>603520.5171778754</v>
      </c>
      <c r="H34" s="47">
        <f t="shared" si="2"/>
        <v>68.89503620752002</v>
      </c>
      <c r="I34" s="48">
        <f t="shared" si="3"/>
        <v>211.73913824668577</v>
      </c>
      <c r="J34" s="49">
        <f t="shared" si="4"/>
        <v>10.586956912334289</v>
      </c>
      <c r="K34" s="47">
        <f t="shared" si="5"/>
        <v>4224.195808021381</v>
      </c>
    </row>
    <row r="35" spans="1:11" ht="12">
      <c r="A35" s="42">
        <v>20</v>
      </c>
      <c r="B35" s="45">
        <v>2027</v>
      </c>
      <c r="C35" s="46">
        <f t="shared" si="6"/>
        <v>42.0782937488475</v>
      </c>
      <c r="D35" s="47">
        <f t="shared" si="0"/>
        <v>15358.577218329337</v>
      </c>
      <c r="E35" s="47">
        <f t="shared" si="7"/>
        <v>668641.0804133045</v>
      </c>
      <c r="F35" s="47">
        <v>95</v>
      </c>
      <c r="G35" s="47">
        <f t="shared" si="1"/>
        <v>635209.0263926393</v>
      </c>
      <c r="H35" s="47">
        <f t="shared" si="2"/>
        <v>72.51244593523279</v>
      </c>
      <c r="I35" s="48">
        <f t="shared" si="3"/>
        <v>222.85673481959353</v>
      </c>
      <c r="J35" s="49">
        <f t="shared" si="4"/>
        <v>11.142836740979677</v>
      </c>
      <c r="K35" s="47">
        <f t="shared" si="5"/>
        <v>4445.991859650891</v>
      </c>
    </row>
    <row r="36" spans="4:11" ht="12">
      <c r="D36" s="56">
        <f>SUM(D15:D35)</f>
        <v>254785.92995150347</v>
      </c>
      <c r="F36" s="50"/>
      <c r="J36" s="52" t="s">
        <v>258</v>
      </c>
      <c r="K36" s="53">
        <f>SUM(K15:K35)</f>
        <v>45093.078925913826</v>
      </c>
    </row>
  </sheetData>
  <sheetProtection/>
  <printOptions/>
  <pageMargins left="0.75" right="0.75" top="1" bottom="1" header="0" footer="0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9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51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PIGARS'!E34</f>
        <v>22.69904</v>
      </c>
      <c r="D15" s="47">
        <f>+C15*365</f>
        <v>8285.1496</v>
      </c>
      <c r="E15" s="47">
        <f>2*$C$3*$C$4*D15*EXP(-1*$C$3*A15)</f>
        <v>26843.884704000004</v>
      </c>
      <c r="F15" s="47">
        <v>0</v>
      </c>
      <c r="G15" s="47">
        <f>+F15*E15/100</f>
        <v>0</v>
      </c>
      <c r="H15" s="47">
        <f>+G15/(24*365)</f>
        <v>0</v>
      </c>
      <c r="I15" s="48">
        <f aca="true" t="shared" si="0" ref="I15:I35">+G15*$C$6*$C$7*$C$8</f>
        <v>0</v>
      </c>
      <c r="J15" s="49">
        <f aca="true" t="shared" si="1" ref="J15:J35">+I15*$C$9</f>
        <v>0</v>
      </c>
      <c r="K15" s="47">
        <f>+(I15-J15)*21</f>
        <v>0</v>
      </c>
    </row>
    <row r="16" spans="1:11" ht="12">
      <c r="A16" s="42">
        <v>1</v>
      </c>
      <c r="B16" s="45">
        <v>2008</v>
      </c>
      <c r="C16" s="46">
        <f aca="true" t="shared" si="2" ref="C16:C35">+C15*$C$5</f>
        <v>23.266516</v>
      </c>
      <c r="D16" s="47">
        <f aca="true" t="shared" si="3" ref="D16:D35">+C16*365</f>
        <v>8492.278339999999</v>
      </c>
      <c r="E16" s="47">
        <f aca="true" t="shared" si="4" ref="E16:E35">2*$C$3*$C$4*D16*EXP(-1*$C$3*A16)+E15</f>
        <v>53814.03338159181</v>
      </c>
      <c r="F16" s="47">
        <v>0</v>
      </c>
      <c r="G16" s="47">
        <f>+F16*E16/100</f>
        <v>0</v>
      </c>
      <c r="H16" s="47">
        <f aca="true" t="shared" si="5" ref="H16:H35">+G16/(24*365)</f>
        <v>0</v>
      </c>
      <c r="I16" s="48">
        <f t="shared" si="0"/>
        <v>0</v>
      </c>
      <c r="J16" s="49">
        <f t="shared" si="1"/>
        <v>0</v>
      </c>
      <c r="K16" s="47">
        <f aca="true" t="shared" si="6" ref="K16:K35">+(I16-J16)*21</f>
        <v>0</v>
      </c>
    </row>
    <row r="17" spans="1:11" ht="12">
      <c r="A17" s="42">
        <v>2</v>
      </c>
      <c r="B17" s="45">
        <v>2009</v>
      </c>
      <c r="C17" s="46">
        <f t="shared" si="2"/>
        <v>23.848178899999997</v>
      </c>
      <c r="D17" s="47">
        <f t="shared" si="3"/>
        <v>8704.585298499998</v>
      </c>
      <c r="E17" s="47">
        <f t="shared" si="4"/>
        <v>80911.03993306978</v>
      </c>
      <c r="F17" s="47">
        <v>0</v>
      </c>
      <c r="G17" s="47">
        <f>+F17*E17/100</f>
        <v>0</v>
      </c>
      <c r="H17" s="47">
        <f t="shared" si="5"/>
        <v>0</v>
      </c>
      <c r="I17" s="48">
        <f t="shared" si="0"/>
        <v>0</v>
      </c>
      <c r="J17" s="49">
        <f t="shared" si="1"/>
        <v>0</v>
      </c>
      <c r="K17" s="47">
        <f t="shared" si="6"/>
        <v>0</v>
      </c>
    </row>
    <row r="18" spans="1:11" ht="12">
      <c r="A18" s="42">
        <v>3</v>
      </c>
      <c r="B18" s="45">
        <v>2010</v>
      </c>
      <c r="C18" s="46">
        <f t="shared" si="2"/>
        <v>24.444383372499995</v>
      </c>
      <c r="D18" s="47">
        <f t="shared" si="3"/>
        <v>8922.199930962499</v>
      </c>
      <c r="E18" s="47">
        <f t="shared" si="4"/>
        <v>108135.50105222152</v>
      </c>
      <c r="F18" s="47">
        <v>0</v>
      </c>
      <c r="G18" s="47">
        <f aca="true" t="shared" si="7" ref="G18:G35">+F18*E18/100</f>
        <v>0</v>
      </c>
      <c r="H18" s="47">
        <f t="shared" si="5"/>
        <v>0</v>
      </c>
      <c r="I18" s="48">
        <f t="shared" si="0"/>
        <v>0</v>
      </c>
      <c r="J18" s="49">
        <f t="shared" si="1"/>
        <v>0</v>
      </c>
      <c r="K18" s="47">
        <f t="shared" si="6"/>
        <v>0</v>
      </c>
    </row>
    <row r="19" spans="1:11" ht="12">
      <c r="A19" s="42">
        <v>4</v>
      </c>
      <c r="B19" s="45">
        <v>2011</v>
      </c>
      <c r="C19" s="46">
        <f t="shared" si="2"/>
        <v>25.055492956812493</v>
      </c>
      <c r="D19" s="47">
        <f t="shared" si="3"/>
        <v>9145.25492923656</v>
      </c>
      <c r="E19" s="47">
        <f t="shared" si="4"/>
        <v>135488.01623946748</v>
      </c>
      <c r="F19" s="47">
        <v>0</v>
      </c>
      <c r="G19" s="47">
        <f t="shared" si="7"/>
        <v>0</v>
      </c>
      <c r="H19" s="47">
        <f t="shared" si="5"/>
        <v>0</v>
      </c>
      <c r="I19" s="48">
        <f t="shared" si="0"/>
        <v>0</v>
      </c>
      <c r="J19" s="49">
        <f t="shared" si="1"/>
        <v>0</v>
      </c>
      <c r="K19" s="47">
        <f t="shared" si="6"/>
        <v>0</v>
      </c>
    </row>
    <row r="20" spans="1:11" ht="12">
      <c r="A20" s="42">
        <v>5</v>
      </c>
      <c r="B20" s="45">
        <v>2012</v>
      </c>
      <c r="C20" s="46">
        <f t="shared" si="2"/>
        <v>25.681880280732802</v>
      </c>
      <c r="D20" s="47">
        <f t="shared" si="3"/>
        <v>9373.886302467472</v>
      </c>
      <c r="E20" s="47">
        <f t="shared" si="4"/>
        <v>162969.18781506238</v>
      </c>
      <c r="F20" s="47">
        <v>95</v>
      </c>
      <c r="G20" s="47">
        <f t="shared" si="7"/>
        <v>154820.72842430926</v>
      </c>
      <c r="H20" s="47">
        <f t="shared" si="5"/>
        <v>17.673599135195122</v>
      </c>
      <c r="I20" s="48">
        <f t="shared" si="0"/>
        <v>54.317304360384654</v>
      </c>
      <c r="J20" s="49">
        <f t="shared" si="1"/>
        <v>2.715865218019233</v>
      </c>
      <c r="K20" s="47">
        <f t="shared" si="6"/>
        <v>1083.6302219896738</v>
      </c>
    </row>
    <row r="21" spans="1:11" ht="12">
      <c r="A21" s="42">
        <v>6</v>
      </c>
      <c r="B21" s="45">
        <v>2013</v>
      </c>
      <c r="C21" s="46">
        <f t="shared" si="2"/>
        <v>26.32392728775112</v>
      </c>
      <c r="D21" s="47">
        <f t="shared" si="3"/>
        <v>9608.233460029158</v>
      </c>
      <c r="E21" s="47">
        <f t="shared" si="4"/>
        <v>190579.62093235867</v>
      </c>
      <c r="F21" s="47">
        <v>95</v>
      </c>
      <c r="G21" s="47">
        <f t="shared" si="7"/>
        <v>181050.63988574073</v>
      </c>
      <c r="H21" s="47">
        <f t="shared" si="5"/>
        <v>20.667881265495517</v>
      </c>
      <c r="I21" s="48">
        <f t="shared" si="0"/>
        <v>63.51980649751327</v>
      </c>
      <c r="J21" s="49">
        <f t="shared" si="1"/>
        <v>3.175990324875664</v>
      </c>
      <c r="K21" s="47">
        <f t="shared" si="6"/>
        <v>1267.2201396253897</v>
      </c>
    </row>
    <row r="22" spans="1:11" ht="12">
      <c r="A22" s="42">
        <v>7</v>
      </c>
      <c r="B22" s="45">
        <v>2014</v>
      </c>
      <c r="C22" s="46">
        <f t="shared" si="2"/>
        <v>26.982025469944894</v>
      </c>
      <c r="D22" s="47">
        <f t="shared" si="3"/>
        <v>9848.439296529887</v>
      </c>
      <c r="E22" s="47">
        <f t="shared" si="4"/>
        <v>218319.92359113233</v>
      </c>
      <c r="F22" s="47">
        <v>95</v>
      </c>
      <c r="G22" s="47">
        <f t="shared" si="7"/>
        <v>207403.9274115757</v>
      </c>
      <c r="H22" s="47">
        <f t="shared" si="5"/>
        <v>23.676247421412754</v>
      </c>
      <c r="I22" s="48">
        <f t="shared" si="0"/>
        <v>72.76559389307721</v>
      </c>
      <c r="J22" s="49">
        <f t="shared" si="1"/>
        <v>3.6382796946538605</v>
      </c>
      <c r="K22" s="47">
        <f t="shared" si="6"/>
        <v>1451.6735981668903</v>
      </c>
    </row>
    <row r="23" spans="1:11" ht="12">
      <c r="A23" s="42">
        <v>8</v>
      </c>
      <c r="B23" s="45">
        <v>2015</v>
      </c>
      <c r="C23" s="46">
        <f t="shared" si="2"/>
        <v>27.656576106693514</v>
      </c>
      <c r="D23" s="47">
        <f t="shared" si="3"/>
        <v>10094.650278943132</v>
      </c>
      <c r="E23" s="47">
        <f t="shared" si="4"/>
        <v>246190.70665097158</v>
      </c>
      <c r="F23" s="47">
        <v>95</v>
      </c>
      <c r="G23" s="47">
        <f t="shared" si="7"/>
        <v>233881.171318423</v>
      </c>
      <c r="H23" s="47">
        <f t="shared" si="5"/>
        <v>26.698763849135045</v>
      </c>
      <c r="I23" s="48">
        <f t="shared" si="0"/>
        <v>82.05487014535552</v>
      </c>
      <c r="J23" s="49">
        <f t="shared" si="1"/>
        <v>4.1027435072677765</v>
      </c>
      <c r="K23" s="47">
        <f t="shared" si="6"/>
        <v>1636.9946593998427</v>
      </c>
    </row>
    <row r="24" spans="1:11" ht="12">
      <c r="A24" s="42">
        <v>9</v>
      </c>
      <c r="B24" s="45">
        <v>2016</v>
      </c>
      <c r="C24" s="46">
        <f t="shared" si="2"/>
        <v>28.347990509360848</v>
      </c>
      <c r="D24" s="47">
        <f t="shared" si="3"/>
        <v>10347.01653591671</v>
      </c>
      <c r="E24" s="47">
        <f t="shared" si="4"/>
        <v>274192.5838447283</v>
      </c>
      <c r="F24" s="47">
        <v>95</v>
      </c>
      <c r="G24" s="47">
        <f t="shared" si="7"/>
        <v>260482.95465249187</v>
      </c>
      <c r="H24" s="47">
        <f t="shared" si="5"/>
        <v>29.735497106448843</v>
      </c>
      <c r="I24" s="48">
        <f t="shared" si="0"/>
        <v>91.38783981028024</v>
      </c>
      <c r="J24" s="49">
        <f t="shared" si="1"/>
        <v>4.569391990514013</v>
      </c>
      <c r="K24" s="47">
        <f t="shared" si="6"/>
        <v>1823.187404215091</v>
      </c>
    </row>
    <row r="25" spans="1:11" ht="12">
      <c r="A25" s="42">
        <v>10</v>
      </c>
      <c r="B25" s="45">
        <v>2017</v>
      </c>
      <c r="C25" s="46">
        <f t="shared" si="2"/>
        <v>29.056690272094865</v>
      </c>
      <c r="D25" s="47">
        <f t="shared" si="3"/>
        <v>10605.691949314625</v>
      </c>
      <c r="E25" s="47">
        <f t="shared" si="4"/>
        <v>302326.1717920328</v>
      </c>
      <c r="F25" s="47">
        <v>95</v>
      </c>
      <c r="G25" s="47">
        <f t="shared" si="7"/>
        <v>287209.8632024311</v>
      </c>
      <c r="H25" s="47">
        <f t="shared" si="5"/>
        <v>32.78651406420447</v>
      </c>
      <c r="I25" s="48">
        <f t="shared" si="0"/>
        <v>100.76470840594094</v>
      </c>
      <c r="J25" s="49">
        <f t="shared" si="1"/>
        <v>5.038235420297047</v>
      </c>
      <c r="K25" s="47">
        <f t="shared" si="6"/>
        <v>2010.2559326985217</v>
      </c>
    </row>
    <row r="26" spans="1:11" ht="12">
      <c r="A26" s="42">
        <v>11</v>
      </c>
      <c r="B26" s="45">
        <v>2018</v>
      </c>
      <c r="C26" s="46">
        <f t="shared" si="2"/>
        <v>29.783107528897233</v>
      </c>
      <c r="D26" s="47">
        <f t="shared" si="3"/>
        <v>10870.83424804749</v>
      </c>
      <c r="E26" s="47">
        <f t="shared" si="4"/>
        <v>330592.0900128722</v>
      </c>
      <c r="F26" s="47">
        <v>95</v>
      </c>
      <c r="G26" s="47">
        <f t="shared" si="7"/>
        <v>314062.48551222857</v>
      </c>
      <c r="H26" s="47">
        <f t="shared" si="5"/>
        <v>35.85188190778865</v>
      </c>
      <c r="I26" s="48">
        <f t="shared" si="0"/>
        <v>110.18568241711026</v>
      </c>
      <c r="J26" s="49">
        <f t="shared" si="1"/>
        <v>5.509284120855513</v>
      </c>
      <c r="K26" s="47">
        <f t="shared" si="6"/>
        <v>2198.20436422135</v>
      </c>
    </row>
    <row r="27" spans="1:11" ht="12">
      <c r="A27" s="42">
        <v>12</v>
      </c>
      <c r="B27" s="45">
        <v>2019</v>
      </c>
      <c r="C27" s="46">
        <f t="shared" si="2"/>
        <v>30.52768521711966</v>
      </c>
      <c r="D27" s="47">
        <f t="shared" si="3"/>
        <v>11142.605104248676</v>
      </c>
      <c r="E27" s="47">
        <f t="shared" si="4"/>
        <v>358990.96094123286</v>
      </c>
      <c r="F27" s="47">
        <v>95</v>
      </c>
      <c r="G27" s="47">
        <f t="shared" si="7"/>
        <v>341041.4128941712</v>
      </c>
      <c r="H27" s="47">
        <f t="shared" si="5"/>
        <v>38.93166813860402</v>
      </c>
      <c r="I27" s="48">
        <f t="shared" si="0"/>
        <v>119.65096929979102</v>
      </c>
      <c r="J27" s="49">
        <f t="shared" si="1"/>
        <v>5.982548464989551</v>
      </c>
      <c r="K27" s="47">
        <f t="shared" si="6"/>
        <v>2387.036837530831</v>
      </c>
    </row>
    <row r="28" spans="1:11" ht="12">
      <c r="A28" s="42">
        <v>13</v>
      </c>
      <c r="B28" s="45">
        <v>2020</v>
      </c>
      <c r="C28" s="46">
        <f t="shared" si="2"/>
        <v>31.29087734754765</v>
      </c>
      <c r="D28" s="47">
        <f t="shared" si="3"/>
        <v>11421.170231854892</v>
      </c>
      <c r="E28" s="47">
        <f t="shared" si="4"/>
        <v>387523.40993880644</v>
      </c>
      <c r="F28" s="47">
        <v>95</v>
      </c>
      <c r="G28" s="47">
        <f t="shared" si="7"/>
        <v>368147.2394418661</v>
      </c>
      <c r="H28" s="47">
        <f t="shared" si="5"/>
        <v>42.025940575555495</v>
      </c>
      <c r="I28" s="48">
        <f t="shared" si="0"/>
        <v>129.16077748578428</v>
      </c>
      <c r="J28" s="49">
        <f t="shared" si="1"/>
        <v>6.4580388742892145</v>
      </c>
      <c r="K28" s="47">
        <f t="shared" si="6"/>
        <v>2576.757510841396</v>
      </c>
    </row>
    <row r="29" spans="1:11" ht="12">
      <c r="A29" s="42">
        <v>14</v>
      </c>
      <c r="B29" s="45">
        <v>2021</v>
      </c>
      <c r="C29" s="46">
        <f t="shared" si="2"/>
        <v>32.07314928123634</v>
      </c>
      <c r="D29" s="47">
        <f t="shared" si="3"/>
        <v>11706.699487651264</v>
      </c>
      <c r="E29" s="47">
        <f t="shared" si="4"/>
        <v>416190.0653087611</v>
      </c>
      <c r="F29" s="47">
        <v>95</v>
      </c>
      <c r="G29" s="47">
        <f t="shared" si="7"/>
        <v>395380.562043323</v>
      </c>
      <c r="H29" s="47">
        <f t="shared" si="5"/>
        <v>45.13476735654372</v>
      </c>
      <c r="I29" s="48">
        <f t="shared" si="0"/>
        <v>138.71531638727942</v>
      </c>
      <c r="J29" s="49">
        <f t="shared" si="1"/>
        <v>6.935765819363971</v>
      </c>
      <c r="K29" s="47">
        <f t="shared" si="6"/>
        <v>2767.370561926224</v>
      </c>
    </row>
    <row r="30" spans="1:11" ht="12">
      <c r="A30" s="42">
        <v>15</v>
      </c>
      <c r="B30" s="45">
        <v>2022</v>
      </c>
      <c r="C30" s="46">
        <f t="shared" si="2"/>
        <v>32.874978013267246</v>
      </c>
      <c r="D30" s="47">
        <f t="shared" si="3"/>
        <v>11999.366974842545</v>
      </c>
      <c r="E30" s="47">
        <f t="shared" si="4"/>
        <v>444991.5583095769</v>
      </c>
      <c r="F30" s="47">
        <v>95</v>
      </c>
      <c r="G30" s="47">
        <f t="shared" si="7"/>
        <v>422741.98039409803</v>
      </c>
      <c r="H30" s="47">
        <f t="shared" si="5"/>
        <v>48.25821693996553</v>
      </c>
      <c r="I30" s="48">
        <f t="shared" si="0"/>
        <v>148.31479640146534</v>
      </c>
      <c r="J30" s="49">
        <f t="shared" si="1"/>
        <v>7.415739820073267</v>
      </c>
      <c r="K30" s="47">
        <f t="shared" si="6"/>
        <v>2958.8801882092334</v>
      </c>
    </row>
    <row r="31" spans="1:11" ht="12">
      <c r="A31" s="42">
        <v>16</v>
      </c>
      <c r="B31" s="45">
        <v>2023</v>
      </c>
      <c r="C31" s="46">
        <f t="shared" si="2"/>
        <v>33.69685246359892</v>
      </c>
      <c r="D31" s="47">
        <f t="shared" si="3"/>
        <v>12299.351149213608</v>
      </c>
      <c r="E31" s="47">
        <f t="shared" si="4"/>
        <v>473928.5231689467</v>
      </c>
      <c r="F31" s="47">
        <v>95</v>
      </c>
      <c r="G31" s="47">
        <f t="shared" si="7"/>
        <v>450232.09701049933</v>
      </c>
      <c r="H31" s="47">
        <f t="shared" si="5"/>
        <v>51.396358106221385</v>
      </c>
      <c r="I31" s="48">
        <f t="shared" si="0"/>
        <v>157.95942891516358</v>
      </c>
      <c r="J31" s="49">
        <f t="shared" si="1"/>
        <v>7.89797144575818</v>
      </c>
      <c r="K31" s="47">
        <f t="shared" si="6"/>
        <v>3151.2906068575135</v>
      </c>
    </row>
    <row r="32" spans="1:11" ht="12">
      <c r="A32" s="42">
        <v>17</v>
      </c>
      <c r="B32" s="45">
        <v>2024</v>
      </c>
      <c r="C32" s="46">
        <f t="shared" si="2"/>
        <v>34.539273775188896</v>
      </c>
      <c r="D32" s="47">
        <f t="shared" si="3"/>
        <v>12606.834927943946</v>
      </c>
      <c r="E32" s="47">
        <f t="shared" si="4"/>
        <v>503001.59709774214</v>
      </c>
      <c r="F32" s="47">
        <v>95</v>
      </c>
      <c r="G32" s="47">
        <f t="shared" si="7"/>
        <v>477851.51724285504</v>
      </c>
      <c r="H32" s="47">
        <f t="shared" si="5"/>
        <v>54.54925995923003</v>
      </c>
      <c r="I32" s="48">
        <f t="shared" si="0"/>
        <v>167.64942630948323</v>
      </c>
      <c r="J32" s="49">
        <f t="shared" si="1"/>
        <v>8.382471315474161</v>
      </c>
      <c r="K32" s="47">
        <f t="shared" si="6"/>
        <v>3344.6060548741902</v>
      </c>
    </row>
    <row r="33" spans="1:11" ht="12">
      <c r="A33" s="42">
        <v>18</v>
      </c>
      <c r="B33" s="45">
        <v>2025</v>
      </c>
      <c r="C33" s="46">
        <f t="shared" si="2"/>
        <v>35.402755619568616</v>
      </c>
      <c r="D33" s="47">
        <f t="shared" si="3"/>
        <v>12922.005801142544</v>
      </c>
      <c r="E33" s="47">
        <f t="shared" si="4"/>
        <v>532211.4203040455</v>
      </c>
      <c r="F33" s="47">
        <v>95</v>
      </c>
      <c r="G33" s="47">
        <f t="shared" si="7"/>
        <v>505600.8492888433</v>
      </c>
      <c r="H33" s="47">
        <f t="shared" si="5"/>
        <v>57.71699192795015</v>
      </c>
      <c r="I33" s="48">
        <f t="shared" si="0"/>
        <v>177.38500196449777</v>
      </c>
      <c r="J33" s="49">
        <f t="shared" si="1"/>
        <v>8.869250098224889</v>
      </c>
      <c r="K33" s="47">
        <f t="shared" si="6"/>
        <v>3538.8307891917307</v>
      </c>
    </row>
    <row r="34" spans="1:11" ht="12">
      <c r="A34" s="42">
        <v>19</v>
      </c>
      <c r="B34" s="45">
        <v>2026</v>
      </c>
      <c r="C34" s="46">
        <f t="shared" si="2"/>
        <v>36.28782451005783</v>
      </c>
      <c r="D34" s="47">
        <f t="shared" si="3"/>
        <v>13245.05594617111</v>
      </c>
      <c r="E34" s="47">
        <f t="shared" si="4"/>
        <v>561558.6360072476</v>
      </c>
      <c r="F34" s="47">
        <v>95</v>
      </c>
      <c r="G34" s="47">
        <f t="shared" si="7"/>
        <v>533480.7042068853</v>
      </c>
      <c r="H34" s="47">
        <f t="shared" si="5"/>
        <v>60.89962376790928</v>
      </c>
      <c r="I34" s="48">
        <f t="shared" si="0"/>
        <v>187.1663702639436</v>
      </c>
      <c r="J34" s="49">
        <f t="shared" si="1"/>
        <v>9.358318513197181</v>
      </c>
      <c r="K34" s="47">
        <f t="shared" si="6"/>
        <v>3733.9690867656745</v>
      </c>
    </row>
    <row r="35" spans="1:11" ht="12">
      <c r="A35" s="42">
        <v>20</v>
      </c>
      <c r="B35" s="45">
        <v>2027</v>
      </c>
      <c r="C35" s="46">
        <f t="shared" si="2"/>
        <v>37.195020122809275</v>
      </c>
      <c r="D35" s="47">
        <f t="shared" si="3"/>
        <v>13576.182344825385</v>
      </c>
      <c r="E35" s="47">
        <f t="shared" si="4"/>
        <v>591043.8904522116</v>
      </c>
      <c r="F35" s="47">
        <v>95</v>
      </c>
      <c r="G35" s="47">
        <f t="shared" si="7"/>
        <v>561491.6959296011</v>
      </c>
      <c r="H35" s="47">
        <f t="shared" si="5"/>
        <v>64.09722556273985</v>
      </c>
      <c r="I35" s="48">
        <f t="shared" si="0"/>
        <v>196.99374659994123</v>
      </c>
      <c r="J35" s="49">
        <f t="shared" si="1"/>
        <v>9.849687329997062</v>
      </c>
      <c r="K35" s="47">
        <f t="shared" si="6"/>
        <v>3930.0252446688273</v>
      </c>
    </row>
    <row r="36" spans="4:11" ht="12">
      <c r="D36" s="56">
        <f>SUM(D15:D35)</f>
        <v>225217.4921378415</v>
      </c>
      <c r="F36" s="50"/>
      <c r="J36" s="52" t="s">
        <v>258</v>
      </c>
      <c r="K36" s="53">
        <f>SUM(K15:K35)</f>
        <v>39859.93320118238</v>
      </c>
    </row>
  </sheetData>
  <sheetProtection/>
  <printOptions/>
  <pageMargins left="0.75" right="0.75" top="1" bottom="1" header="0" footer="0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1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146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PIGARS'!E35</f>
        <v>0</v>
      </c>
      <c r="D15" s="47">
        <f aca="true" t="shared" si="0" ref="D15:D35">+C15*365</f>
        <v>0</v>
      </c>
      <c r="E15" s="47">
        <f>2*$C$3*$C$4*D15*EXP(-1*$C$3*A15)</f>
        <v>0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0</v>
      </c>
      <c r="D16" s="47">
        <f t="shared" si="0"/>
        <v>0</v>
      </c>
      <c r="E16" s="47">
        <f aca="true" t="shared" si="7" ref="E16:E35">2*$C$3*$C$4*D16*EXP(-1*$C$3*A16)+E15</f>
        <v>0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0</v>
      </c>
      <c r="D17" s="47">
        <f t="shared" si="0"/>
        <v>0</v>
      </c>
      <c r="E17" s="47">
        <f t="shared" si="7"/>
        <v>0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0</v>
      </c>
      <c r="D18" s="47">
        <f t="shared" si="0"/>
        <v>0</v>
      </c>
      <c r="E18" s="47">
        <f t="shared" si="7"/>
        <v>0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0</v>
      </c>
      <c r="D19" s="47">
        <f t="shared" si="0"/>
        <v>0</v>
      </c>
      <c r="E19" s="47">
        <f t="shared" si="7"/>
        <v>0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0</v>
      </c>
      <c r="D20" s="47">
        <f t="shared" si="0"/>
        <v>0</v>
      </c>
      <c r="E20" s="47">
        <f t="shared" si="7"/>
        <v>0</v>
      </c>
      <c r="F20" s="47">
        <v>0</v>
      </c>
      <c r="G20" s="47">
        <f t="shared" si="1"/>
        <v>0</v>
      </c>
      <c r="H20" s="47">
        <f t="shared" si="2"/>
        <v>0</v>
      </c>
      <c r="I20" s="48">
        <f t="shared" si="3"/>
        <v>0</v>
      </c>
      <c r="J20" s="49">
        <f t="shared" si="4"/>
        <v>0</v>
      </c>
      <c r="K20" s="47">
        <f t="shared" si="5"/>
        <v>0</v>
      </c>
    </row>
    <row r="21" spans="1:11" ht="12">
      <c r="A21" s="42">
        <v>6</v>
      </c>
      <c r="B21" s="45">
        <v>2013</v>
      </c>
      <c r="C21" s="46">
        <f t="shared" si="6"/>
        <v>0</v>
      </c>
      <c r="D21" s="47">
        <f t="shared" si="0"/>
        <v>0</v>
      </c>
      <c r="E21" s="47">
        <f t="shared" si="7"/>
        <v>0</v>
      </c>
      <c r="F21" s="47">
        <v>95</v>
      </c>
      <c r="G21" s="47">
        <f t="shared" si="1"/>
        <v>0</v>
      </c>
      <c r="H21" s="47">
        <f t="shared" si="2"/>
        <v>0</v>
      </c>
      <c r="I21" s="48">
        <f t="shared" si="3"/>
        <v>0</v>
      </c>
      <c r="J21" s="49">
        <f t="shared" si="4"/>
        <v>0</v>
      </c>
      <c r="K21" s="47">
        <f t="shared" si="5"/>
        <v>0</v>
      </c>
    </row>
    <row r="22" spans="1:11" ht="12">
      <c r="A22" s="42">
        <v>7</v>
      </c>
      <c r="B22" s="45">
        <v>2014</v>
      </c>
      <c r="C22" s="46">
        <f t="shared" si="6"/>
        <v>0</v>
      </c>
      <c r="D22" s="47">
        <f t="shared" si="0"/>
        <v>0</v>
      </c>
      <c r="E22" s="47">
        <f t="shared" si="7"/>
        <v>0</v>
      </c>
      <c r="F22" s="47">
        <v>95</v>
      </c>
      <c r="G22" s="47">
        <f t="shared" si="1"/>
        <v>0</v>
      </c>
      <c r="H22" s="47">
        <f t="shared" si="2"/>
        <v>0</v>
      </c>
      <c r="I22" s="48">
        <f t="shared" si="3"/>
        <v>0</v>
      </c>
      <c r="J22" s="49">
        <f t="shared" si="4"/>
        <v>0</v>
      </c>
      <c r="K22" s="47">
        <f t="shared" si="5"/>
        <v>0</v>
      </c>
    </row>
    <row r="23" spans="1:11" ht="12">
      <c r="A23" s="42">
        <v>8</v>
      </c>
      <c r="B23" s="45">
        <v>2015</v>
      </c>
      <c r="C23" s="46">
        <f t="shared" si="6"/>
        <v>0</v>
      </c>
      <c r="D23" s="47">
        <f t="shared" si="0"/>
        <v>0</v>
      </c>
      <c r="E23" s="47">
        <f t="shared" si="7"/>
        <v>0</v>
      </c>
      <c r="F23" s="47">
        <v>95</v>
      </c>
      <c r="G23" s="47">
        <f t="shared" si="1"/>
        <v>0</v>
      </c>
      <c r="H23" s="47">
        <f t="shared" si="2"/>
        <v>0</v>
      </c>
      <c r="I23" s="48">
        <f t="shared" si="3"/>
        <v>0</v>
      </c>
      <c r="J23" s="49">
        <f t="shared" si="4"/>
        <v>0</v>
      </c>
      <c r="K23" s="47">
        <f t="shared" si="5"/>
        <v>0</v>
      </c>
    </row>
    <row r="24" spans="1:11" ht="12">
      <c r="A24" s="42">
        <v>9</v>
      </c>
      <c r="B24" s="45">
        <v>2016</v>
      </c>
      <c r="C24" s="46">
        <f t="shared" si="6"/>
        <v>0</v>
      </c>
      <c r="D24" s="47">
        <f t="shared" si="0"/>
        <v>0</v>
      </c>
      <c r="E24" s="47">
        <f t="shared" si="7"/>
        <v>0</v>
      </c>
      <c r="F24" s="47">
        <v>95</v>
      </c>
      <c r="G24" s="47">
        <f t="shared" si="1"/>
        <v>0</v>
      </c>
      <c r="H24" s="47">
        <f t="shared" si="2"/>
        <v>0</v>
      </c>
      <c r="I24" s="48">
        <f t="shared" si="3"/>
        <v>0</v>
      </c>
      <c r="J24" s="49">
        <f t="shared" si="4"/>
        <v>0</v>
      </c>
      <c r="K24" s="47">
        <f t="shared" si="5"/>
        <v>0</v>
      </c>
    </row>
    <row r="25" spans="1:11" ht="12">
      <c r="A25" s="42">
        <v>10</v>
      </c>
      <c r="B25" s="45">
        <v>2017</v>
      </c>
      <c r="C25" s="46">
        <f t="shared" si="6"/>
        <v>0</v>
      </c>
      <c r="D25" s="47">
        <f t="shared" si="0"/>
        <v>0</v>
      </c>
      <c r="E25" s="47">
        <f t="shared" si="7"/>
        <v>0</v>
      </c>
      <c r="F25" s="47">
        <v>95</v>
      </c>
      <c r="G25" s="47">
        <f t="shared" si="1"/>
        <v>0</v>
      </c>
      <c r="H25" s="47">
        <f t="shared" si="2"/>
        <v>0</v>
      </c>
      <c r="I25" s="48">
        <f t="shared" si="3"/>
        <v>0</v>
      </c>
      <c r="J25" s="49">
        <f t="shared" si="4"/>
        <v>0</v>
      </c>
      <c r="K25" s="47">
        <f t="shared" si="5"/>
        <v>0</v>
      </c>
    </row>
    <row r="26" spans="1:11" ht="12">
      <c r="A26" s="42">
        <v>11</v>
      </c>
      <c r="B26" s="45">
        <v>2018</v>
      </c>
      <c r="C26" s="46">
        <f t="shared" si="6"/>
        <v>0</v>
      </c>
      <c r="D26" s="47">
        <f t="shared" si="0"/>
        <v>0</v>
      </c>
      <c r="E26" s="47">
        <f t="shared" si="7"/>
        <v>0</v>
      </c>
      <c r="F26" s="47">
        <v>95</v>
      </c>
      <c r="G26" s="47">
        <f t="shared" si="1"/>
        <v>0</v>
      </c>
      <c r="H26" s="47">
        <f t="shared" si="2"/>
        <v>0</v>
      </c>
      <c r="I26" s="48">
        <f t="shared" si="3"/>
        <v>0</v>
      </c>
      <c r="J26" s="49">
        <f t="shared" si="4"/>
        <v>0</v>
      </c>
      <c r="K26" s="47">
        <f t="shared" si="5"/>
        <v>0</v>
      </c>
    </row>
    <row r="27" spans="1:11" ht="12">
      <c r="A27" s="42">
        <v>12</v>
      </c>
      <c r="B27" s="45">
        <v>2019</v>
      </c>
      <c r="C27" s="46">
        <f t="shared" si="6"/>
        <v>0</v>
      </c>
      <c r="D27" s="47">
        <f t="shared" si="0"/>
        <v>0</v>
      </c>
      <c r="E27" s="47">
        <f t="shared" si="7"/>
        <v>0</v>
      </c>
      <c r="F27" s="47">
        <v>95</v>
      </c>
      <c r="G27" s="47">
        <f t="shared" si="1"/>
        <v>0</v>
      </c>
      <c r="H27" s="47">
        <f t="shared" si="2"/>
        <v>0</v>
      </c>
      <c r="I27" s="48">
        <f t="shared" si="3"/>
        <v>0</v>
      </c>
      <c r="J27" s="49">
        <f t="shared" si="4"/>
        <v>0</v>
      </c>
      <c r="K27" s="47">
        <f t="shared" si="5"/>
        <v>0</v>
      </c>
    </row>
    <row r="28" spans="1:11" ht="12">
      <c r="A28" s="42">
        <v>13</v>
      </c>
      <c r="B28" s="45">
        <v>2020</v>
      </c>
      <c r="C28" s="46">
        <f t="shared" si="6"/>
        <v>0</v>
      </c>
      <c r="D28" s="47">
        <f t="shared" si="0"/>
        <v>0</v>
      </c>
      <c r="E28" s="47">
        <f t="shared" si="7"/>
        <v>0</v>
      </c>
      <c r="F28" s="47">
        <v>95</v>
      </c>
      <c r="G28" s="47">
        <f t="shared" si="1"/>
        <v>0</v>
      </c>
      <c r="H28" s="47">
        <f t="shared" si="2"/>
        <v>0</v>
      </c>
      <c r="I28" s="48">
        <f t="shared" si="3"/>
        <v>0</v>
      </c>
      <c r="J28" s="49">
        <f t="shared" si="4"/>
        <v>0</v>
      </c>
      <c r="K28" s="47">
        <f t="shared" si="5"/>
        <v>0</v>
      </c>
    </row>
    <row r="29" spans="1:11" ht="12">
      <c r="A29" s="42">
        <v>14</v>
      </c>
      <c r="B29" s="45">
        <v>2021</v>
      </c>
      <c r="C29" s="46">
        <f t="shared" si="6"/>
        <v>0</v>
      </c>
      <c r="D29" s="47">
        <f t="shared" si="0"/>
        <v>0</v>
      </c>
      <c r="E29" s="47">
        <f t="shared" si="7"/>
        <v>0</v>
      </c>
      <c r="F29" s="47">
        <v>95</v>
      </c>
      <c r="G29" s="47">
        <f t="shared" si="1"/>
        <v>0</v>
      </c>
      <c r="H29" s="47">
        <f t="shared" si="2"/>
        <v>0</v>
      </c>
      <c r="I29" s="48">
        <f t="shared" si="3"/>
        <v>0</v>
      </c>
      <c r="J29" s="49">
        <f t="shared" si="4"/>
        <v>0</v>
      </c>
      <c r="K29" s="47">
        <f t="shared" si="5"/>
        <v>0</v>
      </c>
    </row>
    <row r="30" spans="1:11" ht="12">
      <c r="A30" s="42">
        <v>15</v>
      </c>
      <c r="B30" s="45">
        <v>2022</v>
      </c>
      <c r="C30" s="46">
        <f t="shared" si="6"/>
        <v>0</v>
      </c>
      <c r="D30" s="47">
        <f t="shared" si="0"/>
        <v>0</v>
      </c>
      <c r="E30" s="47">
        <f t="shared" si="7"/>
        <v>0</v>
      </c>
      <c r="F30" s="47">
        <v>95</v>
      </c>
      <c r="G30" s="47">
        <f t="shared" si="1"/>
        <v>0</v>
      </c>
      <c r="H30" s="47">
        <f t="shared" si="2"/>
        <v>0</v>
      </c>
      <c r="I30" s="48">
        <f t="shared" si="3"/>
        <v>0</v>
      </c>
      <c r="J30" s="49">
        <f t="shared" si="4"/>
        <v>0</v>
      </c>
      <c r="K30" s="47">
        <f t="shared" si="5"/>
        <v>0</v>
      </c>
    </row>
    <row r="31" spans="1:11" ht="12">
      <c r="A31" s="42">
        <v>16</v>
      </c>
      <c r="B31" s="45">
        <v>2023</v>
      </c>
      <c r="C31" s="46">
        <f t="shared" si="6"/>
        <v>0</v>
      </c>
      <c r="D31" s="47">
        <f t="shared" si="0"/>
        <v>0</v>
      </c>
      <c r="E31" s="47">
        <f t="shared" si="7"/>
        <v>0</v>
      </c>
      <c r="F31" s="47">
        <v>95</v>
      </c>
      <c r="G31" s="47">
        <f t="shared" si="1"/>
        <v>0</v>
      </c>
      <c r="H31" s="47">
        <f t="shared" si="2"/>
        <v>0</v>
      </c>
      <c r="I31" s="48">
        <f t="shared" si="3"/>
        <v>0</v>
      </c>
      <c r="J31" s="49">
        <f t="shared" si="4"/>
        <v>0</v>
      </c>
      <c r="K31" s="47">
        <f t="shared" si="5"/>
        <v>0</v>
      </c>
    </row>
    <row r="32" spans="1:11" ht="12">
      <c r="A32" s="42">
        <v>17</v>
      </c>
      <c r="B32" s="45">
        <v>2024</v>
      </c>
      <c r="C32" s="46">
        <f t="shared" si="6"/>
        <v>0</v>
      </c>
      <c r="D32" s="47">
        <f t="shared" si="0"/>
        <v>0</v>
      </c>
      <c r="E32" s="47">
        <f t="shared" si="7"/>
        <v>0</v>
      </c>
      <c r="F32" s="47">
        <v>95</v>
      </c>
      <c r="G32" s="47">
        <f t="shared" si="1"/>
        <v>0</v>
      </c>
      <c r="H32" s="47">
        <f t="shared" si="2"/>
        <v>0</v>
      </c>
      <c r="I32" s="48">
        <f t="shared" si="3"/>
        <v>0</v>
      </c>
      <c r="J32" s="49">
        <f t="shared" si="4"/>
        <v>0</v>
      </c>
      <c r="K32" s="47">
        <f t="shared" si="5"/>
        <v>0</v>
      </c>
    </row>
    <row r="33" spans="1:11" ht="12">
      <c r="A33" s="42">
        <v>18</v>
      </c>
      <c r="B33" s="45">
        <v>2025</v>
      </c>
      <c r="C33" s="46">
        <f t="shared" si="6"/>
        <v>0</v>
      </c>
      <c r="D33" s="47">
        <f t="shared" si="0"/>
        <v>0</v>
      </c>
      <c r="E33" s="47">
        <f t="shared" si="7"/>
        <v>0</v>
      </c>
      <c r="F33" s="47">
        <v>95</v>
      </c>
      <c r="G33" s="47">
        <f t="shared" si="1"/>
        <v>0</v>
      </c>
      <c r="H33" s="47">
        <f t="shared" si="2"/>
        <v>0</v>
      </c>
      <c r="I33" s="48">
        <f t="shared" si="3"/>
        <v>0</v>
      </c>
      <c r="J33" s="49">
        <f t="shared" si="4"/>
        <v>0</v>
      </c>
      <c r="K33" s="47">
        <f t="shared" si="5"/>
        <v>0</v>
      </c>
    </row>
    <row r="34" spans="1:11" ht="12">
      <c r="A34" s="42">
        <v>19</v>
      </c>
      <c r="B34" s="45">
        <v>2026</v>
      </c>
      <c r="C34" s="46">
        <f t="shared" si="6"/>
        <v>0</v>
      </c>
      <c r="D34" s="47">
        <f t="shared" si="0"/>
        <v>0</v>
      </c>
      <c r="E34" s="47">
        <f t="shared" si="7"/>
        <v>0</v>
      </c>
      <c r="F34" s="47">
        <v>95</v>
      </c>
      <c r="G34" s="47">
        <f t="shared" si="1"/>
        <v>0</v>
      </c>
      <c r="H34" s="47">
        <f t="shared" si="2"/>
        <v>0</v>
      </c>
      <c r="I34" s="48">
        <f t="shared" si="3"/>
        <v>0</v>
      </c>
      <c r="J34" s="49">
        <f t="shared" si="4"/>
        <v>0</v>
      </c>
      <c r="K34" s="47">
        <f t="shared" si="5"/>
        <v>0</v>
      </c>
    </row>
    <row r="35" spans="1:11" ht="12">
      <c r="A35" s="42">
        <v>20</v>
      </c>
      <c r="B35" s="45">
        <v>2027</v>
      </c>
      <c r="C35" s="46">
        <f t="shared" si="6"/>
        <v>0</v>
      </c>
      <c r="D35" s="47">
        <f t="shared" si="0"/>
        <v>0</v>
      </c>
      <c r="E35" s="47">
        <f t="shared" si="7"/>
        <v>0</v>
      </c>
      <c r="F35" s="47">
        <v>95</v>
      </c>
      <c r="G35" s="47">
        <f t="shared" si="1"/>
        <v>0</v>
      </c>
      <c r="H35" s="47">
        <f t="shared" si="2"/>
        <v>0</v>
      </c>
      <c r="I35" s="48">
        <f t="shared" si="3"/>
        <v>0</v>
      </c>
      <c r="J35" s="49">
        <f t="shared" si="4"/>
        <v>0</v>
      </c>
      <c r="K35" s="47">
        <f t="shared" si="5"/>
        <v>0</v>
      </c>
    </row>
    <row r="36" spans="4:11" ht="12">
      <c r="D36" s="56">
        <f>SUM(D15:D35)</f>
        <v>0</v>
      </c>
      <c r="F36" s="50"/>
      <c r="J36" s="52" t="s">
        <v>258</v>
      </c>
      <c r="K36" s="53">
        <f>SUM(K15:K35)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2">
      <selection activeCell="E42" sqref="E42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65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PIGARS'!E36</f>
        <v>0</v>
      </c>
      <c r="D15" s="47">
        <f aca="true" t="shared" si="0" ref="D15:D35">+C15*365</f>
        <v>0</v>
      </c>
      <c r="E15" s="47">
        <f>2*$C$3*$C$4*D15*EXP(-1*$C$3*A15)</f>
        <v>0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0</v>
      </c>
      <c r="D16" s="47">
        <f t="shared" si="0"/>
        <v>0</v>
      </c>
      <c r="E16" s="47">
        <f aca="true" t="shared" si="7" ref="E16:E35">2*$C$3*$C$4*D16*EXP(-1*$C$3*A16)+E15</f>
        <v>0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0</v>
      </c>
      <c r="D17" s="47">
        <f t="shared" si="0"/>
        <v>0</v>
      </c>
      <c r="E17" s="47">
        <f t="shared" si="7"/>
        <v>0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0</v>
      </c>
      <c r="D18" s="47">
        <f t="shared" si="0"/>
        <v>0</v>
      </c>
      <c r="E18" s="47">
        <f t="shared" si="7"/>
        <v>0</v>
      </c>
      <c r="F18" s="47">
        <v>0</v>
      </c>
      <c r="G18" s="47">
        <f t="shared" si="1"/>
        <v>0</v>
      </c>
      <c r="H18" s="47">
        <f t="shared" si="2"/>
        <v>0</v>
      </c>
      <c r="I18" s="48">
        <f t="shared" si="3"/>
        <v>0</v>
      </c>
      <c r="J18" s="49">
        <f t="shared" si="4"/>
        <v>0</v>
      </c>
      <c r="K18" s="47">
        <f t="shared" si="5"/>
        <v>0</v>
      </c>
    </row>
    <row r="19" spans="1:11" ht="12">
      <c r="A19" s="42">
        <v>4</v>
      </c>
      <c r="B19" s="45">
        <v>2011</v>
      </c>
      <c r="C19" s="46">
        <f t="shared" si="6"/>
        <v>0</v>
      </c>
      <c r="D19" s="47">
        <f t="shared" si="0"/>
        <v>0</v>
      </c>
      <c r="E19" s="47">
        <f t="shared" si="7"/>
        <v>0</v>
      </c>
      <c r="F19" s="47">
        <v>0</v>
      </c>
      <c r="G19" s="47">
        <f t="shared" si="1"/>
        <v>0</v>
      </c>
      <c r="H19" s="47">
        <f t="shared" si="2"/>
        <v>0</v>
      </c>
      <c r="I19" s="48">
        <f t="shared" si="3"/>
        <v>0</v>
      </c>
      <c r="J19" s="49">
        <f t="shared" si="4"/>
        <v>0</v>
      </c>
      <c r="K19" s="47">
        <f t="shared" si="5"/>
        <v>0</v>
      </c>
    </row>
    <row r="20" spans="1:11" ht="12">
      <c r="A20" s="42">
        <v>5</v>
      </c>
      <c r="B20" s="45">
        <v>2012</v>
      </c>
      <c r="C20" s="46">
        <f t="shared" si="6"/>
        <v>0</v>
      </c>
      <c r="D20" s="47">
        <f t="shared" si="0"/>
        <v>0</v>
      </c>
      <c r="E20" s="47">
        <f t="shared" si="7"/>
        <v>0</v>
      </c>
      <c r="F20" s="47">
        <v>0</v>
      </c>
      <c r="G20" s="47">
        <f t="shared" si="1"/>
        <v>0</v>
      </c>
      <c r="H20" s="47">
        <f t="shared" si="2"/>
        <v>0</v>
      </c>
      <c r="I20" s="48">
        <f t="shared" si="3"/>
        <v>0</v>
      </c>
      <c r="J20" s="49">
        <f t="shared" si="4"/>
        <v>0</v>
      </c>
      <c r="K20" s="47">
        <f t="shared" si="5"/>
        <v>0</v>
      </c>
    </row>
    <row r="21" spans="1:11" ht="12">
      <c r="A21" s="42">
        <v>6</v>
      </c>
      <c r="B21" s="45">
        <v>2013</v>
      </c>
      <c r="C21" s="46">
        <f t="shared" si="6"/>
        <v>0</v>
      </c>
      <c r="D21" s="47">
        <f t="shared" si="0"/>
        <v>0</v>
      </c>
      <c r="E21" s="47">
        <f t="shared" si="7"/>
        <v>0</v>
      </c>
      <c r="F21" s="47">
        <v>95</v>
      </c>
      <c r="G21" s="47">
        <f t="shared" si="1"/>
        <v>0</v>
      </c>
      <c r="H21" s="47">
        <f t="shared" si="2"/>
        <v>0</v>
      </c>
      <c r="I21" s="48">
        <f t="shared" si="3"/>
        <v>0</v>
      </c>
      <c r="J21" s="49">
        <f t="shared" si="4"/>
        <v>0</v>
      </c>
      <c r="K21" s="47">
        <f t="shared" si="5"/>
        <v>0</v>
      </c>
    </row>
    <row r="22" spans="1:11" ht="12">
      <c r="A22" s="42">
        <v>7</v>
      </c>
      <c r="B22" s="45">
        <v>2014</v>
      </c>
      <c r="C22" s="46">
        <f t="shared" si="6"/>
        <v>0</v>
      </c>
      <c r="D22" s="47">
        <f t="shared" si="0"/>
        <v>0</v>
      </c>
      <c r="E22" s="47">
        <f t="shared" si="7"/>
        <v>0</v>
      </c>
      <c r="F22" s="47">
        <v>95</v>
      </c>
      <c r="G22" s="47">
        <f t="shared" si="1"/>
        <v>0</v>
      </c>
      <c r="H22" s="47">
        <f t="shared" si="2"/>
        <v>0</v>
      </c>
      <c r="I22" s="48">
        <f t="shared" si="3"/>
        <v>0</v>
      </c>
      <c r="J22" s="49">
        <f t="shared" si="4"/>
        <v>0</v>
      </c>
      <c r="K22" s="47">
        <f t="shared" si="5"/>
        <v>0</v>
      </c>
    </row>
    <row r="23" spans="1:11" ht="12">
      <c r="A23" s="42">
        <v>8</v>
      </c>
      <c r="B23" s="45">
        <v>2015</v>
      </c>
      <c r="C23" s="46">
        <f t="shared" si="6"/>
        <v>0</v>
      </c>
      <c r="D23" s="47">
        <f t="shared" si="0"/>
        <v>0</v>
      </c>
      <c r="E23" s="47">
        <f t="shared" si="7"/>
        <v>0</v>
      </c>
      <c r="F23" s="47">
        <v>95</v>
      </c>
      <c r="G23" s="47">
        <f t="shared" si="1"/>
        <v>0</v>
      </c>
      <c r="H23" s="47">
        <f t="shared" si="2"/>
        <v>0</v>
      </c>
      <c r="I23" s="48">
        <f t="shared" si="3"/>
        <v>0</v>
      </c>
      <c r="J23" s="49">
        <f t="shared" si="4"/>
        <v>0</v>
      </c>
      <c r="K23" s="47">
        <f t="shared" si="5"/>
        <v>0</v>
      </c>
    </row>
    <row r="24" spans="1:11" ht="12">
      <c r="A24" s="42">
        <v>9</v>
      </c>
      <c r="B24" s="45">
        <v>2016</v>
      </c>
      <c r="C24" s="46">
        <f t="shared" si="6"/>
        <v>0</v>
      </c>
      <c r="D24" s="47">
        <f t="shared" si="0"/>
        <v>0</v>
      </c>
      <c r="E24" s="47">
        <f t="shared" si="7"/>
        <v>0</v>
      </c>
      <c r="F24" s="47">
        <v>95</v>
      </c>
      <c r="G24" s="47">
        <f t="shared" si="1"/>
        <v>0</v>
      </c>
      <c r="H24" s="47">
        <f t="shared" si="2"/>
        <v>0</v>
      </c>
      <c r="I24" s="48">
        <f t="shared" si="3"/>
        <v>0</v>
      </c>
      <c r="J24" s="49">
        <f t="shared" si="4"/>
        <v>0</v>
      </c>
      <c r="K24" s="47">
        <f t="shared" si="5"/>
        <v>0</v>
      </c>
    </row>
    <row r="25" spans="1:11" ht="12">
      <c r="A25" s="42">
        <v>10</v>
      </c>
      <c r="B25" s="45">
        <v>2017</v>
      </c>
      <c r="C25" s="46">
        <f t="shared" si="6"/>
        <v>0</v>
      </c>
      <c r="D25" s="47">
        <f t="shared" si="0"/>
        <v>0</v>
      </c>
      <c r="E25" s="47">
        <f t="shared" si="7"/>
        <v>0</v>
      </c>
      <c r="F25" s="47">
        <v>95</v>
      </c>
      <c r="G25" s="47">
        <f t="shared" si="1"/>
        <v>0</v>
      </c>
      <c r="H25" s="47">
        <f t="shared" si="2"/>
        <v>0</v>
      </c>
      <c r="I25" s="48">
        <f t="shared" si="3"/>
        <v>0</v>
      </c>
      <c r="J25" s="49">
        <f t="shared" si="4"/>
        <v>0</v>
      </c>
      <c r="K25" s="47">
        <f t="shared" si="5"/>
        <v>0</v>
      </c>
    </row>
    <row r="26" spans="1:11" ht="12">
      <c r="A26" s="42">
        <v>11</v>
      </c>
      <c r="B26" s="45">
        <v>2018</v>
      </c>
      <c r="C26" s="46">
        <f t="shared" si="6"/>
        <v>0</v>
      </c>
      <c r="D26" s="47">
        <f t="shared" si="0"/>
        <v>0</v>
      </c>
      <c r="E26" s="47">
        <f t="shared" si="7"/>
        <v>0</v>
      </c>
      <c r="F26" s="47">
        <v>95</v>
      </c>
      <c r="G26" s="47">
        <f t="shared" si="1"/>
        <v>0</v>
      </c>
      <c r="H26" s="47">
        <f t="shared" si="2"/>
        <v>0</v>
      </c>
      <c r="I26" s="48">
        <f t="shared" si="3"/>
        <v>0</v>
      </c>
      <c r="J26" s="49">
        <f t="shared" si="4"/>
        <v>0</v>
      </c>
      <c r="K26" s="47">
        <f t="shared" si="5"/>
        <v>0</v>
      </c>
    </row>
    <row r="27" spans="1:11" ht="12">
      <c r="A27" s="42">
        <v>12</v>
      </c>
      <c r="B27" s="45">
        <v>2019</v>
      </c>
      <c r="C27" s="46">
        <f t="shared" si="6"/>
        <v>0</v>
      </c>
      <c r="D27" s="47">
        <f t="shared" si="0"/>
        <v>0</v>
      </c>
      <c r="E27" s="47">
        <f t="shared" si="7"/>
        <v>0</v>
      </c>
      <c r="F27" s="47">
        <v>95</v>
      </c>
      <c r="G27" s="47">
        <f t="shared" si="1"/>
        <v>0</v>
      </c>
      <c r="H27" s="47">
        <f t="shared" si="2"/>
        <v>0</v>
      </c>
      <c r="I27" s="48">
        <f t="shared" si="3"/>
        <v>0</v>
      </c>
      <c r="J27" s="49">
        <f t="shared" si="4"/>
        <v>0</v>
      </c>
      <c r="K27" s="47">
        <f t="shared" si="5"/>
        <v>0</v>
      </c>
    </row>
    <row r="28" spans="1:11" ht="12">
      <c r="A28" s="42">
        <v>13</v>
      </c>
      <c r="B28" s="45">
        <v>2020</v>
      </c>
      <c r="C28" s="46">
        <f t="shared" si="6"/>
        <v>0</v>
      </c>
      <c r="D28" s="47">
        <f t="shared" si="0"/>
        <v>0</v>
      </c>
      <c r="E28" s="47">
        <f t="shared" si="7"/>
        <v>0</v>
      </c>
      <c r="F28" s="47">
        <v>95</v>
      </c>
      <c r="G28" s="47">
        <f t="shared" si="1"/>
        <v>0</v>
      </c>
      <c r="H28" s="47">
        <f t="shared" si="2"/>
        <v>0</v>
      </c>
      <c r="I28" s="48">
        <f t="shared" si="3"/>
        <v>0</v>
      </c>
      <c r="J28" s="49">
        <f t="shared" si="4"/>
        <v>0</v>
      </c>
      <c r="K28" s="47">
        <f t="shared" si="5"/>
        <v>0</v>
      </c>
    </row>
    <row r="29" spans="1:11" ht="12">
      <c r="A29" s="42">
        <v>14</v>
      </c>
      <c r="B29" s="45">
        <v>2021</v>
      </c>
      <c r="C29" s="46">
        <f t="shared" si="6"/>
        <v>0</v>
      </c>
      <c r="D29" s="47">
        <f t="shared" si="0"/>
        <v>0</v>
      </c>
      <c r="E29" s="47">
        <f t="shared" si="7"/>
        <v>0</v>
      </c>
      <c r="F29" s="47">
        <v>95</v>
      </c>
      <c r="G29" s="47">
        <f t="shared" si="1"/>
        <v>0</v>
      </c>
      <c r="H29" s="47">
        <f t="shared" si="2"/>
        <v>0</v>
      </c>
      <c r="I29" s="48">
        <f t="shared" si="3"/>
        <v>0</v>
      </c>
      <c r="J29" s="49">
        <f t="shared" si="4"/>
        <v>0</v>
      </c>
      <c r="K29" s="47">
        <f t="shared" si="5"/>
        <v>0</v>
      </c>
    </row>
    <row r="30" spans="1:11" ht="12">
      <c r="A30" s="42">
        <v>15</v>
      </c>
      <c r="B30" s="45">
        <v>2022</v>
      </c>
      <c r="C30" s="46">
        <f t="shared" si="6"/>
        <v>0</v>
      </c>
      <c r="D30" s="47">
        <f t="shared" si="0"/>
        <v>0</v>
      </c>
      <c r="E30" s="47">
        <f t="shared" si="7"/>
        <v>0</v>
      </c>
      <c r="F30" s="47">
        <v>95</v>
      </c>
      <c r="G30" s="47">
        <f t="shared" si="1"/>
        <v>0</v>
      </c>
      <c r="H30" s="47">
        <f t="shared" si="2"/>
        <v>0</v>
      </c>
      <c r="I30" s="48">
        <f t="shared" si="3"/>
        <v>0</v>
      </c>
      <c r="J30" s="49">
        <f t="shared" si="4"/>
        <v>0</v>
      </c>
      <c r="K30" s="47">
        <f t="shared" si="5"/>
        <v>0</v>
      </c>
    </row>
    <row r="31" spans="1:11" ht="12">
      <c r="A31" s="42">
        <v>16</v>
      </c>
      <c r="B31" s="45">
        <v>2023</v>
      </c>
      <c r="C31" s="46">
        <f t="shared" si="6"/>
        <v>0</v>
      </c>
      <c r="D31" s="47">
        <f t="shared" si="0"/>
        <v>0</v>
      </c>
      <c r="E31" s="47">
        <f t="shared" si="7"/>
        <v>0</v>
      </c>
      <c r="F31" s="47">
        <v>95</v>
      </c>
      <c r="G31" s="47">
        <f t="shared" si="1"/>
        <v>0</v>
      </c>
      <c r="H31" s="47">
        <f t="shared" si="2"/>
        <v>0</v>
      </c>
      <c r="I31" s="48">
        <f t="shared" si="3"/>
        <v>0</v>
      </c>
      <c r="J31" s="49">
        <f t="shared" si="4"/>
        <v>0</v>
      </c>
      <c r="K31" s="47">
        <f t="shared" si="5"/>
        <v>0</v>
      </c>
    </row>
    <row r="32" spans="1:11" ht="12">
      <c r="A32" s="42">
        <v>17</v>
      </c>
      <c r="B32" s="45">
        <v>2024</v>
      </c>
      <c r="C32" s="46">
        <f t="shared" si="6"/>
        <v>0</v>
      </c>
      <c r="D32" s="47">
        <f t="shared" si="0"/>
        <v>0</v>
      </c>
      <c r="E32" s="47">
        <f t="shared" si="7"/>
        <v>0</v>
      </c>
      <c r="F32" s="47">
        <v>95</v>
      </c>
      <c r="G32" s="47">
        <f t="shared" si="1"/>
        <v>0</v>
      </c>
      <c r="H32" s="47">
        <f t="shared" si="2"/>
        <v>0</v>
      </c>
      <c r="I32" s="48">
        <f t="shared" si="3"/>
        <v>0</v>
      </c>
      <c r="J32" s="49">
        <f t="shared" si="4"/>
        <v>0</v>
      </c>
      <c r="K32" s="47">
        <f t="shared" si="5"/>
        <v>0</v>
      </c>
    </row>
    <row r="33" spans="1:11" ht="12">
      <c r="A33" s="42">
        <v>18</v>
      </c>
      <c r="B33" s="45">
        <v>2025</v>
      </c>
      <c r="C33" s="46">
        <f t="shared" si="6"/>
        <v>0</v>
      </c>
      <c r="D33" s="47">
        <f t="shared" si="0"/>
        <v>0</v>
      </c>
      <c r="E33" s="47">
        <f t="shared" si="7"/>
        <v>0</v>
      </c>
      <c r="F33" s="47">
        <v>95</v>
      </c>
      <c r="G33" s="47">
        <f t="shared" si="1"/>
        <v>0</v>
      </c>
      <c r="H33" s="47">
        <f t="shared" si="2"/>
        <v>0</v>
      </c>
      <c r="I33" s="48">
        <f t="shared" si="3"/>
        <v>0</v>
      </c>
      <c r="J33" s="49">
        <f t="shared" si="4"/>
        <v>0</v>
      </c>
      <c r="K33" s="47">
        <f t="shared" si="5"/>
        <v>0</v>
      </c>
    </row>
    <row r="34" spans="1:11" ht="12">
      <c r="A34" s="42">
        <v>19</v>
      </c>
      <c r="B34" s="45">
        <v>2026</v>
      </c>
      <c r="C34" s="46">
        <f t="shared" si="6"/>
        <v>0</v>
      </c>
      <c r="D34" s="47">
        <f t="shared" si="0"/>
        <v>0</v>
      </c>
      <c r="E34" s="47">
        <f t="shared" si="7"/>
        <v>0</v>
      </c>
      <c r="F34" s="47">
        <v>95</v>
      </c>
      <c r="G34" s="47">
        <f t="shared" si="1"/>
        <v>0</v>
      </c>
      <c r="H34" s="47">
        <f t="shared" si="2"/>
        <v>0</v>
      </c>
      <c r="I34" s="48">
        <f t="shared" si="3"/>
        <v>0</v>
      </c>
      <c r="J34" s="49">
        <f t="shared" si="4"/>
        <v>0</v>
      </c>
      <c r="K34" s="47">
        <f t="shared" si="5"/>
        <v>0</v>
      </c>
    </row>
    <row r="35" spans="1:11" ht="12">
      <c r="A35" s="42">
        <v>20</v>
      </c>
      <c r="B35" s="45">
        <v>2027</v>
      </c>
      <c r="C35" s="46">
        <f t="shared" si="6"/>
        <v>0</v>
      </c>
      <c r="D35" s="47">
        <f t="shared" si="0"/>
        <v>0</v>
      </c>
      <c r="E35" s="47">
        <f t="shared" si="7"/>
        <v>0</v>
      </c>
      <c r="F35" s="47">
        <v>95</v>
      </c>
      <c r="G35" s="47">
        <f t="shared" si="1"/>
        <v>0</v>
      </c>
      <c r="H35" s="47">
        <f t="shared" si="2"/>
        <v>0</v>
      </c>
      <c r="I35" s="48">
        <f t="shared" si="3"/>
        <v>0</v>
      </c>
      <c r="J35" s="49">
        <f t="shared" si="4"/>
        <v>0</v>
      </c>
      <c r="K35" s="47">
        <f t="shared" si="5"/>
        <v>0</v>
      </c>
    </row>
    <row r="36" spans="4:11" ht="12">
      <c r="D36" s="56">
        <f>SUM(D15:D35)</f>
        <v>0</v>
      </c>
      <c r="F36" s="50"/>
      <c r="J36" s="52" t="s">
        <v>258</v>
      </c>
      <c r="K36" s="53">
        <f>SUM(K15:K35)</f>
        <v>0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AG87"/>
  <sheetViews>
    <sheetView zoomScalePageLayoutView="0" workbookViewId="0" topLeftCell="A18">
      <selection activeCell="C70" sqref="C70"/>
    </sheetView>
  </sheetViews>
  <sheetFormatPr defaultColWidth="11.421875" defaultRowHeight="12.75"/>
  <cols>
    <col min="1" max="1" width="3.00390625" style="39" bestFit="1" customWidth="1"/>
    <col min="2" max="2" width="51.00390625" style="0" customWidth="1"/>
    <col min="3" max="3" width="12.57421875" style="0" bestFit="1" customWidth="1"/>
    <col min="4" max="4" width="12.57421875" style="0" customWidth="1"/>
    <col min="5" max="5" width="12.7109375" style="0" customWidth="1"/>
    <col min="6" max="6" width="16.57421875" style="0" customWidth="1"/>
    <col min="7" max="7" width="13.140625" style="0" customWidth="1"/>
    <col min="8" max="8" width="13.140625" style="0" hidden="1" customWidth="1"/>
    <col min="9" max="25" width="8.8515625" style="0" hidden="1" customWidth="1"/>
    <col min="26" max="28" width="10.57421875" style="0" hidden="1" customWidth="1"/>
    <col min="29" max="29" width="16.57421875" style="0" customWidth="1"/>
    <col min="30" max="30" width="15.421875" style="0" customWidth="1"/>
    <col min="31" max="31" width="17.421875" style="0" customWidth="1"/>
    <col min="32" max="32" width="13.140625" style="0" customWidth="1"/>
  </cols>
  <sheetData>
    <row r="2" spans="2:5" ht="12.75">
      <c r="B2" s="25" t="s">
        <v>238</v>
      </c>
      <c r="C2" s="26">
        <v>0.52</v>
      </c>
      <c r="D2" s="26"/>
      <c r="E2" t="s">
        <v>242</v>
      </c>
    </row>
    <row r="3" spans="2:4" ht="15">
      <c r="B3" s="30" t="s">
        <v>275</v>
      </c>
      <c r="C3" s="22">
        <f>6127704/(60*365*20)</f>
        <v>13.990191780821918</v>
      </c>
      <c r="D3" s="22"/>
    </row>
    <row r="4" spans="2:4" ht="15">
      <c r="B4" s="30" t="s">
        <v>274</v>
      </c>
      <c r="C4" s="22">
        <f>1708500*3.25/(40000000)</f>
        <v>0.138815625</v>
      </c>
      <c r="D4" s="22"/>
    </row>
    <row r="5" spans="2:4" ht="15">
      <c r="B5" s="32" t="s">
        <v>308</v>
      </c>
      <c r="C5" s="57">
        <f>SUM(C3:C4)</f>
        <v>14.129007405821918</v>
      </c>
      <c r="D5" s="57"/>
    </row>
    <row r="6" spans="2:30" ht="15">
      <c r="B6" s="31"/>
      <c r="AD6">
        <f>+E12*6000000/60</f>
        <v>44810792</v>
      </c>
    </row>
    <row r="7" ht="15">
      <c r="B7" s="31"/>
    </row>
    <row r="8" ht="15">
      <c r="B8" s="1"/>
    </row>
    <row r="10" spans="1:33" s="33" customFormat="1" ht="69" customHeight="1">
      <c r="A10" s="40"/>
      <c r="B10" s="2" t="s">
        <v>312</v>
      </c>
      <c r="C10" s="24" t="s">
        <v>240</v>
      </c>
      <c r="D10" s="24"/>
      <c r="E10" s="24" t="s">
        <v>284</v>
      </c>
      <c r="F10" s="24" t="s">
        <v>281</v>
      </c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 t="s">
        <v>265</v>
      </c>
      <c r="AE10" s="24" t="s">
        <v>285</v>
      </c>
      <c r="AF10" s="24" t="s">
        <v>310</v>
      </c>
      <c r="AG10" s="24" t="s">
        <v>311</v>
      </c>
    </row>
    <row r="11" spans="1:33" ht="16.5">
      <c r="A11" s="41"/>
      <c r="B11" s="27"/>
      <c r="E11" s="29" t="s">
        <v>268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E11" s="58" t="s">
        <v>282</v>
      </c>
      <c r="AF11" s="20" t="s">
        <v>309</v>
      </c>
      <c r="AG11" s="29" t="s">
        <v>282</v>
      </c>
    </row>
    <row r="12" spans="1:33" ht="12.75">
      <c r="A12" s="41"/>
      <c r="B12" t="s">
        <v>2</v>
      </c>
      <c r="C12">
        <v>861746</v>
      </c>
      <c r="E12" s="28">
        <f>+C12*$C$2/1000</f>
        <v>448.10792000000004</v>
      </c>
      <c r="F12" s="55">
        <f>+Arequipa!D36</f>
        <v>4446079.743879235</v>
      </c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t="s">
        <v>266</v>
      </c>
      <c r="AE12" s="55">
        <f>+F12*$C$5</f>
        <v>62818693.62814453</v>
      </c>
      <c r="AF12" s="62">
        <f>+Arequipa!K36</f>
        <v>840073.5883797656</v>
      </c>
      <c r="AG12" s="55">
        <f>+AF12*8*3.25</f>
        <v>21841913.297873907</v>
      </c>
    </row>
    <row r="13" spans="1:33" ht="12.75">
      <c r="A13" s="41"/>
      <c r="B13" t="s">
        <v>270</v>
      </c>
      <c r="C13">
        <v>810568</v>
      </c>
      <c r="E13" s="28">
        <f aca="true" t="shared" si="0" ref="E13:E30">+C13*$C$2/1000</f>
        <v>421.49536</v>
      </c>
      <c r="F13" s="55">
        <f>+Callao!D36</f>
        <v>4182032.7171077137</v>
      </c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  <c r="AB13" s="55"/>
      <c r="AC13" s="55"/>
      <c r="AD13" t="s">
        <v>288</v>
      </c>
      <c r="AE13" s="55">
        <f aca="true" t="shared" si="1" ref="AE13:AE36">+F13*$C$5</f>
        <v>59087971.231404446</v>
      </c>
      <c r="AF13" s="55">
        <f>+Callao!K36</f>
        <v>786868.2749888367</v>
      </c>
      <c r="AG13" s="55">
        <f aca="true" t="shared" si="2" ref="AG13:AG36">+AF13*8*3.25</f>
        <v>20458575.149709754</v>
      </c>
    </row>
    <row r="14" spans="1:33" ht="12.75">
      <c r="A14" s="41"/>
      <c r="B14" t="s">
        <v>5</v>
      </c>
      <c r="C14">
        <v>448355</v>
      </c>
      <c r="E14" s="28">
        <f t="shared" si="0"/>
        <v>233.1446</v>
      </c>
      <c r="F14" s="55">
        <f>+Huancayo!D36</f>
        <v>2313236.2477655536</v>
      </c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t="s">
        <v>276</v>
      </c>
      <c r="AE14" s="55">
        <f t="shared" si="1"/>
        <v>32683732.076095212</v>
      </c>
      <c r="AF14" s="55">
        <f>+Huancayo!K36</f>
        <v>431570.541569443</v>
      </c>
      <c r="AG14" s="55">
        <f t="shared" si="2"/>
        <v>11220834.080805518</v>
      </c>
    </row>
    <row r="15" spans="1:33" ht="12.75">
      <c r="A15" s="41"/>
      <c r="B15" t="s">
        <v>269</v>
      </c>
      <c r="C15">
        <v>355761</v>
      </c>
      <c r="E15" s="28">
        <f t="shared" si="0"/>
        <v>184.99572</v>
      </c>
      <c r="F15" s="55">
        <f>+VMT!D36</f>
        <v>1835508.1146442457</v>
      </c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t="s">
        <v>276</v>
      </c>
      <c r="AE15" s="55">
        <f t="shared" si="1"/>
        <v>25933907.745254774</v>
      </c>
      <c r="AF15" s="55">
        <f>+VMT!K36</f>
        <v>342442.85764469363</v>
      </c>
      <c r="AG15" s="55">
        <f t="shared" si="2"/>
        <v>8903514.298762035</v>
      </c>
    </row>
    <row r="16" spans="1:33" ht="12.75">
      <c r="A16" s="41"/>
      <c r="B16" t="s">
        <v>3</v>
      </c>
      <c r="C16">
        <v>348493</v>
      </c>
      <c r="E16" s="28">
        <f>+C16*$C$2/1000</f>
        <v>181.21636</v>
      </c>
      <c r="F16" s="55">
        <f>+Cusco!D36</f>
        <v>1798009.7014476496</v>
      </c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  <c r="AB16" s="55"/>
      <c r="AC16" s="55"/>
      <c r="AD16" t="s">
        <v>277</v>
      </c>
      <c r="AE16" s="55">
        <f t="shared" si="1"/>
        <v>25404092.3874935</v>
      </c>
      <c r="AF16" s="55">
        <f>+Cusco!K36</f>
        <v>331151.83967602206</v>
      </c>
      <c r="AG16" s="55">
        <f t="shared" si="2"/>
        <v>8609947.831576575</v>
      </c>
    </row>
    <row r="17" spans="1:33" ht="12.75">
      <c r="A17" s="41"/>
      <c r="B17" t="s">
        <v>271</v>
      </c>
      <c r="C17">
        <v>335237</v>
      </c>
      <c r="E17" s="28">
        <f>+C17*$C$2/1000</f>
        <v>174.32324000000003</v>
      </c>
      <c r="F17" s="55">
        <f>+SJM!D36</f>
        <v>1729616.888385723</v>
      </c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t="s">
        <v>277</v>
      </c>
      <c r="AE17" s="55">
        <f t="shared" si="1"/>
        <v>24437769.825236544</v>
      </c>
      <c r="AF17" s="55">
        <f>+SJM!K36</f>
        <v>318555.46389015164</v>
      </c>
      <c r="AG17" s="55">
        <f t="shared" si="2"/>
        <v>8282442.061143943</v>
      </c>
    </row>
    <row r="18" spans="1:33" ht="12.75">
      <c r="A18" s="41"/>
      <c r="B18" t="s">
        <v>12</v>
      </c>
      <c r="C18">
        <v>250509</v>
      </c>
      <c r="E18" s="28">
        <f t="shared" si="0"/>
        <v>130.26468</v>
      </c>
      <c r="F18" s="55">
        <f>+Tacna!D36</f>
        <v>1292472.4809392134</v>
      </c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  <c r="AB18" s="55"/>
      <c r="AC18" s="55"/>
      <c r="AD18" t="s">
        <v>277</v>
      </c>
      <c r="AE18" s="55">
        <f t="shared" si="1"/>
        <v>18261353.255011175</v>
      </c>
      <c r="AF18" s="55">
        <f>+Tacna!K36</f>
        <v>238043.56530949142</v>
      </c>
      <c r="AG18" s="55">
        <f t="shared" si="2"/>
        <v>6189132.6980467765</v>
      </c>
    </row>
    <row r="19" spans="1:33" ht="12.75">
      <c r="A19" s="41"/>
      <c r="B19" t="s">
        <v>11</v>
      </c>
      <c r="C19">
        <v>222897</v>
      </c>
      <c r="E19" s="28">
        <f t="shared" si="0"/>
        <v>115.90644</v>
      </c>
      <c r="F19" s="55">
        <f>+Puno!D36</f>
        <v>1150011.5308588026</v>
      </c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t="s">
        <v>278</v>
      </c>
      <c r="AE19" s="55">
        <f t="shared" si="1"/>
        <v>16248521.436284624</v>
      </c>
      <c r="AF19" s="55">
        <f>+Puno!K36</f>
        <v>208134.04641298266</v>
      </c>
      <c r="AG19" s="55">
        <f t="shared" si="2"/>
        <v>5411485.206737549</v>
      </c>
    </row>
    <row r="20" spans="1:33" ht="12.75">
      <c r="A20" s="41"/>
      <c r="B20" t="s">
        <v>272</v>
      </c>
      <c r="C20">
        <v>190218</v>
      </c>
      <c r="E20" s="28">
        <f t="shared" si="0"/>
        <v>98.91336</v>
      </c>
      <c r="F20" s="55">
        <f>+'La victoria'!D36</f>
        <v>981407.9748803248</v>
      </c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t="s">
        <v>278</v>
      </c>
      <c r="AE20" s="55">
        <f t="shared" si="1"/>
        <v>13866320.5452168</v>
      </c>
      <c r="AF20" s="55">
        <f>+'La victoria'!K36</f>
        <v>177619.44772960042</v>
      </c>
      <c r="AG20" s="55">
        <f t="shared" si="2"/>
        <v>4618105.640969611</v>
      </c>
    </row>
    <row r="21" spans="1:33" ht="12.75">
      <c r="A21" s="41"/>
      <c r="B21" t="s">
        <v>10</v>
      </c>
      <c r="C21">
        <v>147126</v>
      </c>
      <c r="E21" s="28">
        <f t="shared" si="0"/>
        <v>76.50552</v>
      </c>
      <c r="F21" s="55">
        <f>+Pasco!D36</f>
        <v>759079.7385749122</v>
      </c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t="s">
        <v>278</v>
      </c>
      <c r="AE21" s="55">
        <f t="shared" si="1"/>
        <v>10725043.2479343</v>
      </c>
      <c r="AF21" s="55">
        <f>+Pasco!K36</f>
        <v>137381.5247067322</v>
      </c>
      <c r="AG21" s="55">
        <f t="shared" si="2"/>
        <v>3571919.642375037</v>
      </c>
    </row>
    <row r="22" spans="1:33" ht="12.75">
      <c r="A22" s="41"/>
      <c r="B22" t="s">
        <v>13</v>
      </c>
      <c r="C22">
        <v>139073</v>
      </c>
      <c r="E22" s="28">
        <f t="shared" si="0"/>
        <v>72.31796</v>
      </c>
      <c r="F22" s="55">
        <f>+Tarata!D36</f>
        <v>717531.2078275002</v>
      </c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t="s">
        <v>278</v>
      </c>
      <c r="AE22" s="55">
        <f t="shared" si="1"/>
        <v>10138003.749303095</v>
      </c>
      <c r="AF22" s="55">
        <f>+Tarata!K36</f>
        <v>129861.89242920608</v>
      </c>
      <c r="AG22" s="55">
        <f t="shared" si="2"/>
        <v>3376409.2031593584</v>
      </c>
    </row>
    <row r="23" spans="1:33" ht="12.75">
      <c r="A23" s="41"/>
      <c r="B23" t="s">
        <v>14</v>
      </c>
      <c r="C23">
        <v>116865</v>
      </c>
      <c r="E23" s="28">
        <f>+C23*$C$2/1000</f>
        <v>60.769800000000004</v>
      </c>
      <c r="F23" s="55">
        <f>+Pisco!D36</f>
        <v>602951.5765300294</v>
      </c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  <c r="AB23" s="55"/>
      <c r="AC23" s="55"/>
      <c r="AD23" t="s">
        <v>278</v>
      </c>
      <c r="AE23" s="55">
        <f t="shared" si="1"/>
        <v>8519107.290144786</v>
      </c>
      <c r="AF23" s="55">
        <f>+Pisco!K36</f>
        <v>109124.77661903582</v>
      </c>
      <c r="AG23" s="55">
        <f t="shared" si="2"/>
        <v>2837244.1920949314</v>
      </c>
    </row>
    <row r="24" spans="1:33" ht="12.75">
      <c r="A24" s="41"/>
      <c r="B24" t="s">
        <v>239</v>
      </c>
      <c r="C24">
        <v>104378</v>
      </c>
      <c r="E24" s="28">
        <f t="shared" si="0"/>
        <v>54.27656</v>
      </c>
      <c r="F24" s="55">
        <f>+Tayacaja!D36</f>
        <v>538526.3308522776</v>
      </c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  <c r="AB24" s="55"/>
      <c r="AC24" s="55"/>
      <c r="AD24" t="s">
        <v>279</v>
      </c>
      <c r="AE24" s="55">
        <f t="shared" si="1"/>
        <v>7608842.516841934</v>
      </c>
      <c r="AF24" s="55">
        <f>+Tayacaja!K36</f>
        <v>95310.64115442627</v>
      </c>
      <c r="AG24" s="55">
        <f t="shared" si="2"/>
        <v>2478076.6700150827</v>
      </c>
    </row>
    <row r="25" spans="1:33" ht="12.75">
      <c r="A25" s="41"/>
      <c r="B25" t="s">
        <v>8</v>
      </c>
      <c r="C25">
        <v>94731</v>
      </c>
      <c r="E25" s="28">
        <f t="shared" si="0"/>
        <v>49.26012</v>
      </c>
      <c r="F25" s="55">
        <f>+Ferreñafe!D36</f>
        <v>488753.73975327285</v>
      </c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  <c r="AB25" s="55"/>
      <c r="AC25" s="55"/>
      <c r="AD25" t="s">
        <v>279</v>
      </c>
      <c r="AE25" s="55">
        <f t="shared" si="1"/>
        <v>6905605.208597151</v>
      </c>
      <c r="AF25" s="55">
        <f>+Ferreñafe!K36</f>
        <v>86501.67992488793</v>
      </c>
      <c r="AG25" s="55">
        <f t="shared" si="2"/>
        <v>2249043.678047086</v>
      </c>
    </row>
    <row r="26" spans="1:33" ht="12.75">
      <c r="A26" s="41"/>
      <c r="B26" t="s">
        <v>7</v>
      </c>
      <c r="C26">
        <v>93685</v>
      </c>
      <c r="E26" s="28">
        <f t="shared" si="0"/>
        <v>48.71620000000001</v>
      </c>
      <c r="F26" s="55">
        <f>+Satipo!D36</f>
        <v>483357.0226091286</v>
      </c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t="s">
        <v>279</v>
      </c>
      <c r="AE26" s="55">
        <f t="shared" si="1"/>
        <v>6829354.95210041</v>
      </c>
      <c r="AF26" s="55">
        <f>+Satipo!K36</f>
        <v>85546.54636563666</v>
      </c>
      <c r="AG26" s="55">
        <f t="shared" si="2"/>
        <v>2224210.2055065534</v>
      </c>
    </row>
    <row r="27" spans="1:33" ht="12.75">
      <c r="A27" s="41"/>
      <c r="B27" t="s">
        <v>16</v>
      </c>
      <c r="C27">
        <v>89300</v>
      </c>
      <c r="E27" s="28">
        <f t="shared" si="0"/>
        <v>46.436</v>
      </c>
      <c r="F27" s="55">
        <f>+Huanta!D36</f>
        <v>460733.11756412627</v>
      </c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t="s">
        <v>279</v>
      </c>
      <c r="AE27" s="55">
        <f t="shared" si="1"/>
        <v>6509701.63017096</v>
      </c>
      <c r="AF27" s="55">
        <f>+Huanta!K36</f>
        <v>81542.47307948288</v>
      </c>
      <c r="AG27" s="55">
        <f t="shared" si="2"/>
        <v>2120104.300066555</v>
      </c>
    </row>
    <row r="28" spans="1:33" ht="12.75">
      <c r="A28" s="41"/>
      <c r="B28" t="s">
        <v>15</v>
      </c>
      <c r="C28">
        <v>70460</v>
      </c>
      <c r="E28" s="28">
        <f t="shared" si="0"/>
        <v>36.6392</v>
      </c>
      <c r="F28" s="55">
        <f>+'Mariscal Nieto'!D36</f>
        <v>363530.29634455044</v>
      </c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  <c r="AB28" s="55"/>
      <c r="AC28" s="55"/>
      <c r="AD28" t="s">
        <v>279</v>
      </c>
      <c r="AE28" s="55">
        <f t="shared" si="1"/>
        <v>5136322.24929279</v>
      </c>
      <c r="AF28" s="55">
        <f>+'Mariscal Nieto'!K36</f>
        <v>64339.11145778682</v>
      </c>
      <c r="AG28" s="55">
        <f t="shared" si="2"/>
        <v>1672816.8979024573</v>
      </c>
    </row>
    <row r="29" spans="1:33" ht="12.75">
      <c r="A29" s="41"/>
      <c r="B29" t="s">
        <v>323</v>
      </c>
      <c r="C29">
        <v>63515</v>
      </c>
      <c r="E29" s="28">
        <f t="shared" si="0"/>
        <v>33.027800000000006</v>
      </c>
      <c r="F29" s="55">
        <f>+Loreto!D36</f>
        <v>327698.3646370155</v>
      </c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  <c r="AB29" s="55"/>
      <c r="AC29" s="55"/>
      <c r="AD29" t="s">
        <v>279</v>
      </c>
      <c r="AE29" s="55">
        <f t="shared" si="1"/>
        <v>4630052.620832124</v>
      </c>
      <c r="AF29" s="55">
        <f>+Loreto!K36</f>
        <v>57997.42640138135</v>
      </c>
      <c r="AG29" s="55">
        <f t="shared" si="2"/>
        <v>1507933.0864359152</v>
      </c>
    </row>
    <row r="30" spans="1:33" ht="13.5" thickBot="1">
      <c r="A30" s="41"/>
      <c r="B30" t="s">
        <v>4</v>
      </c>
      <c r="C30">
        <v>62868</v>
      </c>
      <c r="E30" s="28">
        <f t="shared" si="0"/>
        <v>32.69136</v>
      </c>
      <c r="F30" s="55">
        <f>+Acobamba!D36</f>
        <v>324360.242273477</v>
      </c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t="s">
        <v>279</v>
      </c>
      <c r="AE30" s="55">
        <f t="shared" si="1"/>
        <v>4582888.265236149</v>
      </c>
      <c r="AF30" s="55">
        <f>+Acobamba!K36</f>
        <v>57406.631551634135</v>
      </c>
      <c r="AG30" s="55">
        <f t="shared" si="2"/>
        <v>1492572.4203424875</v>
      </c>
    </row>
    <row r="31" spans="1:33" ht="15">
      <c r="A31" s="35"/>
      <c r="B31" t="s">
        <v>273</v>
      </c>
      <c r="C31">
        <v>55953</v>
      </c>
      <c r="E31" s="28">
        <f>+C31*$C$2/1000</f>
        <v>29.095560000000003</v>
      </c>
      <c r="F31" s="55">
        <f>+Lurin!D36</f>
        <v>288683.0921283938</v>
      </c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  <c r="AB31" s="55"/>
      <c r="AC31" s="55"/>
      <c r="AD31" t="s">
        <v>279</v>
      </c>
      <c r="AE31" s="55">
        <f t="shared" si="1"/>
        <v>4078805.546617647</v>
      </c>
      <c r="AF31" s="55">
        <f>+Lurin!K36</f>
        <v>51092.34038316132</v>
      </c>
      <c r="AG31" s="55">
        <f t="shared" si="2"/>
        <v>1328400.8499621942</v>
      </c>
    </row>
    <row r="32" spans="1:33" ht="15">
      <c r="A32" s="36"/>
      <c r="B32" t="s">
        <v>1</v>
      </c>
      <c r="C32">
        <v>52845</v>
      </c>
      <c r="E32" s="28">
        <f>+C32*$C$2/1000</f>
        <v>27.479400000000002</v>
      </c>
      <c r="F32" s="55">
        <f>+Huaylas!D36</f>
        <v>272647.72225841274</v>
      </c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  <c r="AB32" s="55"/>
      <c r="AC32" s="55"/>
      <c r="AD32" t="s">
        <v>279</v>
      </c>
      <c r="AE32" s="55">
        <f t="shared" si="1"/>
        <v>3852241.686969591</v>
      </c>
      <c r="AF32" s="55">
        <f>+Huaylas!K36</f>
        <v>48254.33359334011</v>
      </c>
      <c r="AG32" s="55">
        <f t="shared" si="2"/>
        <v>1254612.6734268428</v>
      </c>
    </row>
    <row r="33" spans="1:33" ht="15">
      <c r="A33" s="36"/>
      <c r="B33" t="s">
        <v>9</v>
      </c>
      <c r="C33">
        <v>49383</v>
      </c>
      <c r="E33" s="28">
        <f>+C33*$C$2/1000</f>
        <v>25.67916</v>
      </c>
      <c r="F33" s="55">
        <f>+Yauli!D36</f>
        <v>254785.92995150347</v>
      </c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t="s">
        <v>279</v>
      </c>
      <c r="AE33" s="55">
        <f t="shared" si="1"/>
        <v>3599872.291184017</v>
      </c>
      <c r="AF33" s="55">
        <f>+Yauli!K36</f>
        <v>45093.078925913826</v>
      </c>
      <c r="AG33" s="55">
        <f t="shared" si="2"/>
        <v>1172420.0520737595</v>
      </c>
    </row>
    <row r="34" spans="1:33" ht="15">
      <c r="A34" s="37"/>
      <c r="B34" t="s">
        <v>0</v>
      </c>
      <c r="C34">
        <v>43652</v>
      </c>
      <c r="E34" s="28">
        <f>+C34*$C$2/1000</f>
        <v>22.69904</v>
      </c>
      <c r="F34" s="55">
        <f>+Cahuaz!D36</f>
        <v>225217.4921378415</v>
      </c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t="s">
        <v>279</v>
      </c>
      <c r="AE34" s="55">
        <f t="shared" si="1"/>
        <v>3182099.6143362024</v>
      </c>
      <c r="AF34" s="55">
        <f>+Cahuaz!K36</f>
        <v>39859.93320118238</v>
      </c>
      <c r="AG34" s="55">
        <f t="shared" si="2"/>
        <v>1036358.2632307418</v>
      </c>
    </row>
    <row r="35" spans="1:33" ht="15">
      <c r="A35" s="38"/>
      <c r="B35" t="s">
        <v>6</v>
      </c>
      <c r="C35">
        <v>33045</v>
      </c>
      <c r="E35" s="28">
        <v>0</v>
      </c>
      <c r="F35" s="55">
        <f>+Junin!D36</f>
        <v>0</v>
      </c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t="s">
        <v>280</v>
      </c>
      <c r="AE35" s="55">
        <f t="shared" si="1"/>
        <v>0</v>
      </c>
      <c r="AF35" s="55">
        <f>+Junin!K36</f>
        <v>0</v>
      </c>
      <c r="AG35" s="55">
        <f t="shared" si="2"/>
        <v>0</v>
      </c>
    </row>
    <row r="36" spans="1:33" ht="15">
      <c r="A36" s="38"/>
      <c r="B36" t="s">
        <v>267</v>
      </c>
      <c r="C36">
        <v>19099</v>
      </c>
      <c r="E36" s="28">
        <v>0</v>
      </c>
      <c r="F36" s="55">
        <f>+Yungay!D36</f>
        <v>0</v>
      </c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t="s">
        <v>280</v>
      </c>
      <c r="AE36" s="55">
        <f t="shared" si="1"/>
        <v>0</v>
      </c>
      <c r="AF36" s="55">
        <f>+Yungay!K36</f>
        <v>0</v>
      </c>
      <c r="AG36" s="55">
        <f t="shared" si="2"/>
        <v>0</v>
      </c>
    </row>
    <row r="37" spans="5:32" ht="12.75"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E37" s="59">
        <f>SUM(AE12:AE36)</f>
        <v>365040302.9997027</v>
      </c>
      <c r="AF37" s="59">
        <f>SUM(AF12:AF36)</f>
        <v>4763772.015394794</v>
      </c>
    </row>
    <row r="38" ht="12.75">
      <c r="C38" t="s">
        <v>286</v>
      </c>
    </row>
    <row r="39" ht="12.75">
      <c r="C39" t="s">
        <v>287</v>
      </c>
    </row>
    <row r="43" spans="2:3" ht="12.75">
      <c r="B43" t="s">
        <v>315</v>
      </c>
      <c r="C43">
        <v>30000000</v>
      </c>
    </row>
    <row r="44" spans="2:3" ht="12.75">
      <c r="B44" t="s">
        <v>314</v>
      </c>
      <c r="C44">
        <v>0.1</v>
      </c>
    </row>
    <row r="45" spans="2:3" ht="12.75">
      <c r="B45" t="s">
        <v>316</v>
      </c>
      <c r="C45">
        <v>0.05</v>
      </c>
    </row>
    <row r="46" spans="3:32" ht="39" customHeight="1">
      <c r="C46" s="24" t="s">
        <v>321</v>
      </c>
      <c r="D46" s="24" t="s">
        <v>322</v>
      </c>
      <c r="E46" s="24" t="s">
        <v>303</v>
      </c>
      <c r="F46" s="33" t="s">
        <v>283</v>
      </c>
      <c r="G46" s="33" t="s">
        <v>317</v>
      </c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 t="s">
        <v>318</v>
      </c>
      <c r="AD46" s="24" t="s">
        <v>313</v>
      </c>
      <c r="AF46" s="33"/>
    </row>
    <row r="47" spans="5:29" ht="12.75">
      <c r="E47" s="29"/>
      <c r="F47" s="29" t="s">
        <v>282</v>
      </c>
      <c r="G47" s="29"/>
      <c r="H47" s="29">
        <v>1</v>
      </c>
      <c r="I47" s="29">
        <v>2</v>
      </c>
      <c r="J47" s="29">
        <v>3</v>
      </c>
      <c r="K47" s="29">
        <v>4</v>
      </c>
      <c r="L47" s="29">
        <v>5</v>
      </c>
      <c r="M47" s="29">
        <v>6</v>
      </c>
      <c r="N47" s="29">
        <v>7</v>
      </c>
      <c r="O47" s="29">
        <v>8</v>
      </c>
      <c r="P47" s="29">
        <v>9</v>
      </c>
      <c r="Q47" s="29">
        <v>10</v>
      </c>
      <c r="R47" s="29">
        <v>11</v>
      </c>
      <c r="S47" s="29">
        <v>12</v>
      </c>
      <c r="T47" s="29">
        <v>13</v>
      </c>
      <c r="U47" s="29">
        <v>14</v>
      </c>
      <c r="V47" s="29">
        <v>15</v>
      </c>
      <c r="W47" s="29">
        <v>16</v>
      </c>
      <c r="X47" s="29">
        <v>17</v>
      </c>
      <c r="Y47" s="29">
        <v>18</v>
      </c>
      <c r="Z47" s="29">
        <v>19</v>
      </c>
      <c r="AA47" s="29">
        <v>20</v>
      </c>
      <c r="AB47" s="29">
        <v>21</v>
      </c>
      <c r="AC47" s="29"/>
    </row>
    <row r="48" spans="2:33" ht="12.75">
      <c r="B48" t="s">
        <v>266</v>
      </c>
      <c r="C48" s="55">
        <f>+(Arequipa!D15*Arequipa!F15+Callao!D15*Callao!F15+Huancayo!D15*Huancayo!F15+VMT!D15*VMT!F15+Cusco!D15*Cusco!F15+SJM!D15*SJM!F15+Tacna!D15*Tacna!F15+Puno!D15*Puno!F15+'La victoria'!D15*'La victoria'!F15+Pasco!D15*Pasco!F15+Tarata!D15*Tarata!F15+Pisco!D15*Pisco!F15+Tayacaja!D15*Tayacaja!F15+Ferreñafe!D15*Ferreñafe!F15+Satipo!D15*Satipo!F15+Huanta!D15*Huanta!F15+'Mariscal Nieto'!D15*'Mariscal Nieto'!F15+Loreto!D15*Loreto!F15+Acobamba!D15*Acobamba!F15+Lurin!D15*Lurin!F15+Huaylas!D15*Huaylas!F15+Yauli!D15*Yauli!F15+Cahuaz!D15*Cahuaz!F15+Junin!D15*Junin!F15+Yungay!D15*Yungay!F15)*$C$5/95</f>
        <v>2310931.843904922</v>
      </c>
      <c r="D48" s="55">
        <f>C48*0.5</f>
        <v>1155465.921952461</v>
      </c>
      <c r="E48">
        <v>0</v>
      </c>
      <c r="F48">
        <v>0</v>
      </c>
      <c r="AC48" s="55"/>
      <c r="AD48" s="55">
        <f>+C43-D48</f>
        <v>28844534.07804754</v>
      </c>
      <c r="AF48" s="55"/>
      <c r="AG48" s="55"/>
    </row>
    <row r="49" spans="2:30" ht="12.75">
      <c r="B49" t="s">
        <v>288</v>
      </c>
      <c r="C49" s="55">
        <f>+(Arequipa!D16*Arequipa!F16+Callao!D16*Callao!F16+Huancayo!D16*Huancayo!F16+VMT!D16*VMT!F16+Cusco!D16*Cusco!F16+SJM!D16*SJM!F16+Tacna!D16*Tacna!F16+Puno!D16*Puno!F16+'La victoria'!D16*'La victoria'!F16+Pasco!D16*Pasco!F16+Tarata!D16*Tarata!F16+Pisco!D16*Pisco!F16+Tayacaja!D16*Tayacaja!F16+Ferreñafe!D16*Ferreñafe!F16+Satipo!D16*Satipo!F16+Huanta!D16*Huanta!F16+'Mariscal Nieto'!D16*'Mariscal Nieto'!F16+Loreto!D16*Loreto!F16+Acobamba!D16*Acobamba!F16+Lurin!D16*Lurin!F16+Huaylas!D16*Huaylas!F16+Yauli!D16*Yauli!F16+Cahuaz!D16*Cahuaz!F16+Junin!D16*Junin!F16+Yungay!D16*Yungay!F16)*$C$5/95</f>
        <v>4596735.891432296</v>
      </c>
      <c r="D49" s="55">
        <f aca="true" t="shared" si="3" ref="D49:D68">C49*0.5</f>
        <v>2298367.945716148</v>
      </c>
      <c r="E49" s="55">
        <f>+Arequipa!K15+Callao!K15+Huancayo!K15+VMT!K15+Cusco!K15+SJM!K15+Tacna!K15+Puno!K15+'La victoria'!K15+Pasco!K15+Tarata!K15+Pisco!K15+Tayacaja!K15+Ferreñafe!K15+Satipo!K15+Huanta!K15+'Mariscal Nieto'!K15+Loreto!K15+Acobamba!K15+Lurin!K15+Huaylas!K15+Yauli!K15+Cahuaz!K15+Junin!K15+Yungay!K15</f>
        <v>3523.6770848095784</v>
      </c>
      <c r="F49" s="55">
        <f>+E49*8*3.25</f>
        <v>91615.60420504904</v>
      </c>
      <c r="G49" s="60">
        <f aca="true" t="shared" si="4" ref="G49:G69">SUM(H49:AB49)/2</f>
        <v>115546.59219524609</v>
      </c>
      <c r="H49" s="60">
        <v>231093.18439049218</v>
      </c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>
        <f>+$C$45*$C$43</f>
        <v>1500000</v>
      </c>
      <c r="AD49" s="55">
        <f aca="true" t="shared" si="5" ref="AD49:AD69">+F49+G49+AD48-D49-AC49</f>
        <v>25253328.32873169</v>
      </c>
    </row>
    <row r="50" spans="2:30" ht="12.75">
      <c r="B50" t="s">
        <v>276</v>
      </c>
      <c r="C50" s="55">
        <f>+(Arequipa!D17*Arequipa!F17+Callao!D17*Callao!F17+Huancayo!D17*Huancayo!F17+VMT!D17*VMT!F17+Cusco!D17*Cusco!F17+SJM!D17*SJM!F17+Tacna!D17*Tacna!F17+Puno!D17*Puno!F17+'La victoria'!D17*'La victoria'!F17+Pasco!D17*Pasco!F17+Tarata!D17*Tarata!F17+Pisco!D17*Pisco!F17+Tayacaja!D17*Tayacaja!F17+Ferreñafe!D17*Ferreñafe!F17+Satipo!D17*Satipo!F17+Huanta!D17*Huanta!F17+'Mariscal Nieto'!D17*'Mariscal Nieto'!F17+Loreto!D17*Loreto!F17+Acobamba!D17*Acobamba!F17+Lurin!D17*Lurin!F17+Huaylas!D17*Huaylas!F17+Yauli!D17*Yauli!F17+Cahuaz!D17*Cahuaz!F17+Junin!D17*Junin!F17+Yungay!D17*Yungay!F17)*$C$5/95</f>
        <v>6977207.647732524</v>
      </c>
      <c r="D50" s="55">
        <f t="shared" si="3"/>
        <v>3488603.823866262</v>
      </c>
      <c r="E50" s="55">
        <f>+Arequipa!K16+Callao!K16+Huancayo!K16+VMT!K16+Cusco!K16+SJM!K16+Tacna!K16+Puno!K16+'La victoria'!K16+Pasco!K16+Tarata!K16+Pisco!K16+Tayacaja!K16+Ferreñafe!K16+Satipo!K16+Huanta!K16+'Mariscal Nieto'!K16+Loreto!K16+Acobamba!K16+Lurin!K16+Huaylas!K16+Yauli!K16+Cahuaz!K16+Junin!K16+Yungay!K16</f>
        <v>13708.338832194215</v>
      </c>
      <c r="F50" s="55">
        <f aca="true" t="shared" si="6" ref="F50:F69">+E50*8*3.25</f>
        <v>356416.80963704956</v>
      </c>
      <c r="G50" s="60">
        <f t="shared" si="4"/>
        <v>464406.9745818723</v>
      </c>
      <c r="H50" s="60">
        <v>697720.7647732524</v>
      </c>
      <c r="I50" s="60">
        <v>231093.18439049218</v>
      </c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>
        <f>+$C$45*$C$43</f>
        <v>1500000</v>
      </c>
      <c r="AD50" s="55">
        <f t="shared" si="5"/>
        <v>21085548.28908435</v>
      </c>
    </row>
    <row r="51" spans="2:30" ht="12.75">
      <c r="B51" t="s">
        <v>277</v>
      </c>
      <c r="C51" s="55">
        <f>+(Arequipa!D18*Arequipa!F18+Callao!D18*Callao!F18+Huancayo!D18*Huancayo!F18+VMT!D18*VMT!F18+Cusco!D18*Cusco!F18+SJM!D18*SJM!F18+Tacna!D18*Tacna!F18+Puno!D18*Puno!F18+'La victoria'!D18*'La victoria'!F18+Pasco!D18*Pasco!F18+Tarata!D18*Tarata!F18+Pisco!D18*Pisco!F18+Tayacaja!D18*Tayacaja!F18+Ferreñafe!D18*Ferreñafe!F18+Satipo!D18*Satipo!F18+Huanta!D18*Huanta!F18+'Mariscal Nieto'!D18*'Mariscal Nieto'!F18+Loreto!D18*Loreto!F18+Acobamba!D18*Acobamba!F18+Lurin!D18*Lurin!F18+Huaylas!D18*Huaylas!F18+Yauli!D18*Yauli!F18+Cahuaz!D18*Cahuaz!F18+Junin!D18*Junin!F18+Yungay!D18*Yungay!F18)*$C$5/95</f>
        <v>9849609.912838783</v>
      </c>
      <c r="D51" s="55">
        <f t="shared" si="3"/>
        <v>4924804.956419392</v>
      </c>
      <c r="E51" s="55">
        <f>+Arequipa!K17+Callao!K17+Huancayo!K17+VMT!K17+Cusco!K17+SJM!K17+Tacna!K17+Puno!K17+'La victoria'!K17+Pasco!K17+Tarata!K17+Pisco!K17+Tayacaja!K17+Ferreñafe!K17+Satipo!K17+Huanta!K17+'Mariscal Nieto'!K17+Loreto!K17+Acobamba!K17+Lurin!K17+Huaylas!K17+Yauli!K17+Cahuaz!K17+Junin!K17+Yungay!K17</f>
        <v>30521.459746367636</v>
      </c>
      <c r="F51" s="55">
        <f t="shared" si="6"/>
        <v>793557.9534055586</v>
      </c>
      <c r="G51" s="60">
        <f t="shared" si="4"/>
        <v>956887.4702238115</v>
      </c>
      <c r="H51" s="60">
        <v>984960.9912838783</v>
      </c>
      <c r="I51" s="60">
        <v>697720.7647732524</v>
      </c>
      <c r="J51" s="60">
        <v>231093.18439049218</v>
      </c>
      <c r="K51" s="60"/>
      <c r="L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  <c r="Y51" s="60"/>
      <c r="Z51" s="60"/>
      <c r="AA51" s="60"/>
      <c r="AB51" s="60"/>
      <c r="AC51">
        <f aca="true" t="shared" si="7" ref="AC51:AC69">+$C$45*$C$43</f>
        <v>1500000</v>
      </c>
      <c r="AD51" s="55">
        <f t="shared" si="5"/>
        <v>16411188.756294325</v>
      </c>
    </row>
    <row r="52" spans="2:30" ht="12.75">
      <c r="B52" t="s">
        <v>278</v>
      </c>
      <c r="C52" s="55">
        <f>+(Arequipa!D19*Arequipa!F19+Callao!D19*Callao!F19+Huancayo!D19*Huancayo!F19+VMT!D19*VMT!F19+Cusco!D19*Cusco!F19+SJM!D19*SJM!F19+Tacna!D19*Tacna!F19+Puno!D19*Puno!F19+'La victoria'!D19*'La victoria'!F19+Pasco!D19*Pasco!F19+Tarata!D19*Tarata!F19+Pisco!D19*Pisco!F19+Tayacaja!D19*Tayacaja!F19+Ferreñafe!D19*Ferreñafe!F19+Satipo!D19*Satipo!F19+Huanta!D19*Huanta!F19+'Mariscal Nieto'!D19*'Mariscal Nieto'!F19+Loreto!D19*Loreto!F19+Acobamba!D19*Acobamba!F19+Lurin!D19*Lurin!F19+Huaylas!D19*Huaylas!F19+Yauli!D19*Yauli!F19+Cahuaz!D19*Cahuaz!F19+Junin!D19*Junin!F19+Yungay!D19*Yungay!F19)*$C$5/95</f>
        <v>12511804.593141215</v>
      </c>
      <c r="D52" s="55">
        <f t="shared" si="3"/>
        <v>6255902.296570607</v>
      </c>
      <c r="E52" s="55">
        <f>+Arequipa!K18+Callao!K18+Huancayo!K18+VMT!K18+Cusco!K18+SJM!K18+Tacna!K18+Puno!K18+'La victoria'!K18+Pasco!K18+Tarata!K18+Pisco!K18+Tayacaja!K18+Ferreñafe!K18+Satipo!K18+Huanta!K18+'Mariscal Nieto'!K18+Loreto!K18+Acobamba!K18+Lurin!K18+Huaylas!K18+Yauli!K18+Cahuaz!K18+Junin!K18+Yungay!K18</f>
        <v>56179.689154291314</v>
      </c>
      <c r="F52" s="55">
        <f t="shared" si="6"/>
        <v>1460671.918011574</v>
      </c>
      <c r="G52" s="60">
        <f t="shared" si="4"/>
        <v>1582477.6998808724</v>
      </c>
      <c r="H52" s="60">
        <v>1251180.4593141216</v>
      </c>
      <c r="I52" s="60">
        <v>984960.9912838783</v>
      </c>
      <c r="J52" s="60">
        <v>697720.7647732524</v>
      </c>
      <c r="K52" s="60">
        <v>231093.18439049218</v>
      </c>
      <c r="L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  <c r="Y52" s="60"/>
      <c r="Z52" s="60"/>
      <c r="AA52" s="60"/>
      <c r="AB52" s="60"/>
      <c r="AC52">
        <f t="shared" si="7"/>
        <v>1500000</v>
      </c>
      <c r="AD52" s="55">
        <f t="shared" si="5"/>
        <v>11698436.077616166</v>
      </c>
    </row>
    <row r="53" spans="2:30" ht="12.75">
      <c r="B53" t="s">
        <v>279</v>
      </c>
      <c r="C53" s="55">
        <f>+(Arequipa!D20*Arequipa!F20+Callao!D20*Callao!F20+Huancayo!D20*Huancayo!F20+VMT!D20*VMT!F20+Cusco!D20*Cusco!F20+SJM!D20*SJM!F20+Tacna!D20*Tacna!F20+Puno!D20*Puno!F20+'La victoria'!D20*'La victoria'!F20+Pasco!D20*Pasco!F20+Tarata!D20*Tarata!F20+Pisco!D20*Pisco!F20+Tayacaja!D20*Tayacaja!F20+Ferreñafe!D20*Ferreñafe!F20+Satipo!D20*Satipo!F20+Huanta!D20*Huanta!F20+'Mariscal Nieto'!D20*'Mariscal Nieto'!F20+Loreto!D20*Loreto!F20+Acobamba!D20*Acobamba!F20+Lurin!D20*Lurin!F20+Huaylas!D20*Huaylas!F20+Yauli!D20*Yauli!F20+Cahuaz!D20*Cahuaz!F20+Junin!D20*Junin!F20+Yungay!D20*Yungay!F20)*$C$5/95</f>
        <v>15193519.222934918</v>
      </c>
      <c r="D53" s="55">
        <f t="shared" si="3"/>
        <v>7596759.611467459</v>
      </c>
      <c r="E53" s="55">
        <f>+Arequipa!K19+Callao!K19+Huancayo!K19+VMT!K19+Cusco!K19+SJM!K19+Tacna!K19+Puno!K19+'La victoria'!K19+Pasco!K19+Tarata!K19+Pisco!K19+Tayacaja!K19+Ferreñafe!K19+Satipo!K19+Huanta!K19+'Mariscal Nieto'!K19+Loreto!K19+Acobamba!K19+Lurin!K19+Huaylas!K19+Yauli!K19+Cahuaz!K19+Junin!K19+Yungay!K19</f>
        <v>87234.64052860015</v>
      </c>
      <c r="F53" s="55">
        <f t="shared" si="6"/>
        <v>2268100.653743604</v>
      </c>
      <c r="G53" s="60">
        <f t="shared" si="4"/>
        <v>2342153.661027618</v>
      </c>
      <c r="H53" s="60">
        <v>1519351.922293492</v>
      </c>
      <c r="I53" s="60">
        <v>1251180.4593141216</v>
      </c>
      <c r="J53" s="60">
        <v>984960.9912838783</v>
      </c>
      <c r="K53" s="60">
        <v>697720.7647732524</v>
      </c>
      <c r="L53" s="60">
        <v>231093.18439049218</v>
      </c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  <c r="Y53" s="60"/>
      <c r="Z53" s="60"/>
      <c r="AA53" s="60"/>
      <c r="AB53" s="60"/>
      <c r="AC53">
        <f t="shared" si="7"/>
        <v>1500000</v>
      </c>
      <c r="AD53" s="55">
        <f t="shared" si="5"/>
        <v>7211930.780919928</v>
      </c>
    </row>
    <row r="54" spans="2:30" ht="12.75">
      <c r="B54" t="s">
        <v>280</v>
      </c>
      <c r="C54" s="55">
        <f>+(Arequipa!D21*Arequipa!F21+Callao!D21*Callao!F21+Huancayo!D21*Huancayo!F21+VMT!D21*VMT!F21+Cusco!D21*Cusco!F21+SJM!D21*SJM!F21+Tacna!D21*Tacna!F21+Puno!D21*Puno!F21+'La victoria'!D21*'La victoria'!F21+Pasco!D21*Pasco!F21+Tarata!D21*Tarata!F21+Pisco!D21*Pisco!F21+Tayacaja!D21*Tayacaja!F21+Ferreñafe!D21*Ferreñafe!F21+Satipo!D21*Satipo!F21+Huanta!D21*Huanta!F21+'Mariscal Nieto'!D21*'Mariscal Nieto'!F21+Loreto!D21*Loreto!F21+Acobamba!D21*Acobamba!F21+Lurin!D21*Lurin!F21+Huaylas!D21*Huaylas!F21+Yauli!D21*Yauli!F21+Cahuaz!D21*Cahuaz!F21+Junin!D21*Junin!F21+Yungay!D21*Yungay!F21)*$C$5/95</f>
        <v>15573357.20350829</v>
      </c>
      <c r="D54" s="55">
        <f t="shared" si="3"/>
        <v>7786678.601754145</v>
      </c>
      <c r="E54" s="55">
        <f>+Arequipa!K20+Callao!K20+Huancayo!K20+VMT!K20+Cusco!K20+SJM!K20+Tacna!K20+Puno!K20+'La victoria'!K20+Pasco!K20+Tarata!K20+Pisco!K20+Tayacaja!K20+Ferreñafe!K20+Satipo!K20+Huanta!K20+'Mariscal Nieto'!K20+Loreto!K20+Acobamba!K20+Lurin!K20+Huaylas!K20+Yauli!K20+Cahuaz!K20+Junin!K20+Yungay!K20</f>
        <v>124310.59756665186</v>
      </c>
      <c r="F54" s="55">
        <f t="shared" si="6"/>
        <v>3232075.5367329484</v>
      </c>
      <c r="G54" s="60">
        <f t="shared" si="4"/>
        <v>3128929.738902743</v>
      </c>
      <c r="H54" s="60">
        <v>1573552.1557502493</v>
      </c>
      <c r="I54" s="60">
        <v>1519351.922293492</v>
      </c>
      <c r="J54" s="60">
        <v>1251180.4593141216</v>
      </c>
      <c r="K54" s="60">
        <v>984960.9912838783</v>
      </c>
      <c r="L54" s="60">
        <v>697720.7647732524</v>
      </c>
      <c r="M54" s="60">
        <v>231093.18439049218</v>
      </c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  <c r="Y54" s="60"/>
      <c r="Z54" s="60"/>
      <c r="AA54" s="60"/>
      <c r="AB54" s="60"/>
      <c r="AC54">
        <f t="shared" si="7"/>
        <v>1500000</v>
      </c>
      <c r="AD54" s="55">
        <f t="shared" si="5"/>
        <v>4286257.454801475</v>
      </c>
    </row>
    <row r="55" spans="2:30" ht="12.75">
      <c r="B55" t="s">
        <v>289</v>
      </c>
      <c r="C55" s="55">
        <f>+(Arequipa!D22*Arequipa!F22+Callao!D22*Callao!F22+Huancayo!D22*Huancayo!F22+VMT!D22*VMT!F22+Cusco!D22*Cusco!F22+SJM!D22*SJM!F22+Tacna!D22*Tacna!F22+Puno!D22*Puno!F22+'La victoria'!D22*'La victoria'!F22+Pasco!D22*Pasco!F22+Tarata!D22*Tarata!F22+Pisco!D22*Pisco!F22+Tayacaja!D22*Tayacaja!F22+Ferreñafe!D22*Ferreñafe!F22+Satipo!D22*Satipo!F22+Huanta!D22*Huanta!F22+'Mariscal Nieto'!D22*'Mariscal Nieto'!F22+Loreto!D22*Loreto!F22+Acobamba!D22*Acobamba!F22+Lurin!D22*Lurin!F22+Huaylas!D22*Huaylas!F22+Yauli!D22*Yauli!F22+Cahuaz!D22*Cahuaz!F22+Junin!D22*Junin!F22+Yungay!D22*Yungay!F22)*$C$5/95</f>
        <v>15962691.133596003</v>
      </c>
      <c r="D55" s="55">
        <f t="shared" si="3"/>
        <v>7981345.5667980015</v>
      </c>
      <c r="E55" s="55">
        <f>+Arequipa!K21+Callao!K21+Huancayo!K21+VMT!K21+Cusco!K21+SJM!K21+Tacna!K21+Puno!K21+'La victoria'!K21+Pasco!K21+Tarata!K21+Pisco!K21+Tayacaja!K21+Ferreñafe!K21+Satipo!K21+Huanta!K21+'Mariscal Nieto'!K21+Loreto!K21+Acobamba!K21+Lurin!K21+Huaylas!K21+Yauli!K21+Cahuaz!K21+Junin!K21+Yungay!K21</f>
        <v>145371.44646638448</v>
      </c>
      <c r="F55" s="55">
        <f t="shared" si="6"/>
        <v>3779657.608125997</v>
      </c>
      <c r="G55" s="60">
        <f t="shared" si="4"/>
        <v>3935375.2187247463</v>
      </c>
      <c r="H55" s="60">
        <v>1612890.9596440063</v>
      </c>
      <c r="I55" s="60">
        <v>1573552.1557502493</v>
      </c>
      <c r="J55" s="60">
        <v>1519351.922293492</v>
      </c>
      <c r="K55" s="60">
        <v>1251180.4593141216</v>
      </c>
      <c r="L55" s="60">
        <v>984960.9912838783</v>
      </c>
      <c r="M55" s="60">
        <v>697720.7647732524</v>
      </c>
      <c r="N55" s="60">
        <v>231093.18439049218</v>
      </c>
      <c r="O55" s="60"/>
      <c r="P55" s="60"/>
      <c r="Q55" s="60"/>
      <c r="R55" s="60"/>
      <c r="S55" s="60"/>
      <c r="T55" s="60"/>
      <c r="U55" s="60"/>
      <c r="V55" s="60"/>
      <c r="W55" s="60"/>
      <c r="X55" s="60"/>
      <c r="Y55" s="60"/>
      <c r="Z55" s="60"/>
      <c r="AA55" s="60"/>
      <c r="AB55" s="60"/>
      <c r="AC55">
        <f t="shared" si="7"/>
        <v>1500000</v>
      </c>
      <c r="AD55" s="55">
        <f t="shared" si="5"/>
        <v>2519944.714854216</v>
      </c>
    </row>
    <row r="56" spans="2:30" ht="12.75">
      <c r="B56" t="s">
        <v>290</v>
      </c>
      <c r="C56" s="55">
        <f>+(Arequipa!D23*Arequipa!F23+Callao!D23*Callao!F23+Huancayo!D23*Huancayo!F23+VMT!D23*VMT!F23+Cusco!D23*Cusco!F23+SJM!D23*SJM!F23+Tacna!D23*Tacna!F23+Puno!D23*Puno!F23+'La victoria'!D23*'La victoria'!F23+Pasco!D23*Pasco!F23+Tarata!D23*Tarata!F23+Pisco!D23*Pisco!F23+Tayacaja!D23*Tayacaja!F23+Ferreñafe!D23*Ferreñafe!F23+Satipo!D23*Satipo!F23+Huanta!D23*Huanta!F23+'Mariscal Nieto'!D23*'Mariscal Nieto'!F23+Loreto!D23*Loreto!F23+Acobamba!D23*Acobamba!F23+Lurin!D23*Lurin!F23+Huaylas!D23*Huaylas!F23+Yauli!D23*Yauli!F23+Cahuaz!D23*Cahuaz!F23+Junin!D23*Junin!F23+Yungay!D23*Yungay!F23)*$C$5/95</f>
        <v>16361758.411935898</v>
      </c>
      <c r="D56" s="55">
        <f t="shared" si="3"/>
        <v>8180879.205967949</v>
      </c>
      <c r="E56" s="55">
        <f>+Arequipa!K22+Callao!K22+Huancayo!K22+VMT!K22+Cusco!K22+SJM!K22+Tacna!K22+Puno!K22+'La victoria'!K22+Pasco!K22+Tarata!K22+Pisco!K22+Tayacaja!K22+Ferreñafe!K22+Satipo!K22+Huanta!K22+'Mariscal Nieto'!K22+Loreto!K22+Acobamba!K22+Lurin!K22+Huaylas!K22+Yauli!K22+Cahuaz!K22+Junin!K22+Yungay!K22</f>
        <v>166531.35802037228</v>
      </c>
      <c r="F56" s="55">
        <f t="shared" si="6"/>
        <v>4329815.30852968</v>
      </c>
      <c r="G56" s="60">
        <f t="shared" si="4"/>
        <v>4761981.835542299</v>
      </c>
      <c r="H56" s="60">
        <v>1653213.2336351057</v>
      </c>
      <c r="I56" s="60">
        <v>1612890.9596440063</v>
      </c>
      <c r="J56" s="60">
        <v>1573552.1557502493</v>
      </c>
      <c r="K56" s="60">
        <v>1519351.922293492</v>
      </c>
      <c r="L56" s="60">
        <v>1251180.4593141216</v>
      </c>
      <c r="M56" s="60">
        <v>984960.9912838783</v>
      </c>
      <c r="N56" s="60">
        <v>697720.7647732524</v>
      </c>
      <c r="O56" s="60">
        <v>231093.18439049218</v>
      </c>
      <c r="P56" s="60"/>
      <c r="Q56" s="60"/>
      <c r="R56" s="60"/>
      <c r="S56" s="60"/>
      <c r="T56" s="60"/>
      <c r="U56" s="60"/>
      <c r="V56" s="60"/>
      <c r="W56" s="60"/>
      <c r="X56" s="60"/>
      <c r="Y56" s="60"/>
      <c r="AC56">
        <f t="shared" si="7"/>
        <v>1500000</v>
      </c>
      <c r="AD56" s="55">
        <f t="shared" si="5"/>
        <v>1930862.652958245</v>
      </c>
    </row>
    <row r="57" spans="2:30" ht="12.75">
      <c r="B57" t="s">
        <v>291</v>
      </c>
      <c r="C57" s="55">
        <f>+(Arequipa!D24*Arequipa!F24+Callao!D24*Callao!F24+Huancayo!D24*Huancayo!F24+VMT!D24*VMT!F24+Cusco!D24*Cusco!F24+SJM!D24*SJM!F24+Tacna!D24*Tacna!F24+Puno!D24*Puno!F24+'La victoria'!D24*'La victoria'!F24+Pasco!D24*Pasco!F24+Tarata!D24*Tarata!F24+Pisco!D24*Pisco!F24+Tayacaja!D24*Tayacaja!F24+Ferreñafe!D24*Ferreñafe!F24+Satipo!D24*Satipo!F24+Huanta!D24*Huanta!F24+'Mariscal Nieto'!D24*'Mariscal Nieto'!F24+Loreto!D24*Loreto!F24+Acobamba!D24*Acobamba!F24+Lurin!D24*Lurin!F24+Huaylas!D24*Huaylas!F24+Yauli!D24*Yauli!F24+Cahuaz!D24*Cahuaz!F24+Junin!D24*Junin!F24+Yungay!D24*Yungay!F24)*$C$5/95</f>
        <v>16770802.3722343</v>
      </c>
      <c r="D57" s="55">
        <f t="shared" si="3"/>
        <v>8385401.18611715</v>
      </c>
      <c r="E57" s="55">
        <f>+Arequipa!K23+Callao!K23+Huancayo!K23+VMT!K23+Cusco!K23+SJM!K23+Tacna!K23+Puno!K23+'La victoria'!K23+Pasco!K23+Tarata!K23+Pisco!K23+Tayacaja!K23+Ferreñafe!K23+Satipo!K23+Huanta!K23+'Mariscal Nieto'!K23+Loreto!K23+Acobamba!K23+Lurin!K23+Huaylas!K23+Yauli!K23+Cahuaz!K23+Junin!K23+Yungay!K23</f>
        <v>187790.79818369198</v>
      </c>
      <c r="F57" s="55">
        <f t="shared" si="6"/>
        <v>4882560.752775991</v>
      </c>
      <c r="G57" s="60">
        <f t="shared" si="4"/>
        <v>5609253.617780291</v>
      </c>
      <c r="H57" s="60">
        <v>1694543.5644759838</v>
      </c>
      <c r="I57" s="60">
        <v>1653213.2336351057</v>
      </c>
      <c r="J57" s="60">
        <v>1612890.9596440063</v>
      </c>
      <c r="K57" s="60">
        <v>1573552.1557502493</v>
      </c>
      <c r="L57" s="60">
        <v>1519351.922293492</v>
      </c>
      <c r="M57" s="60">
        <v>1251180.4593141216</v>
      </c>
      <c r="N57" s="60">
        <v>984960.9912838783</v>
      </c>
      <c r="O57" s="60">
        <v>697720.7647732524</v>
      </c>
      <c r="P57" s="60">
        <v>231093.18439049218</v>
      </c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>
        <f t="shared" si="7"/>
        <v>1500000</v>
      </c>
      <c r="AD57" s="55">
        <f t="shared" si="5"/>
        <v>2537275.837397378</v>
      </c>
    </row>
    <row r="58" spans="2:30" ht="12.75">
      <c r="B58" t="s">
        <v>292</v>
      </c>
      <c r="C58" s="55">
        <f>+(Arequipa!D25*Arequipa!F25+Callao!D25*Callao!F25+Huancayo!D25*Huancayo!F25+VMT!D25*VMT!F25+Cusco!D25*Cusco!F25+SJM!D25*SJM!F25+Tacna!D25*Tacna!F25+Puno!D25*Puno!F25+'La victoria'!D25*'La victoria'!F25+Pasco!D25*Pasco!F25+Tarata!D25*Tarata!F25+Pisco!D25*Pisco!F25+Tayacaja!D25*Tayacaja!F25+Ferreñafe!D25*Ferreñafe!F25+Satipo!D25*Satipo!F25+Huanta!D25*Huanta!F25+'Mariscal Nieto'!D25*'Mariscal Nieto'!F25+Loreto!D25*Loreto!F25+Acobamba!D25*Acobamba!F25+Lurin!D25*Lurin!F25+Huaylas!D25*Huaylas!F25+Yauli!D25*Yauli!F25+Cahuaz!D25*Cahuaz!F25+Junin!D25*Junin!F25+Yungay!D25*Yungay!F25)*$C$5/95</f>
        <v>17190072.431540146</v>
      </c>
      <c r="D58" s="55">
        <f t="shared" si="3"/>
        <v>8595036.215770073</v>
      </c>
      <c r="E58" s="55">
        <f>+Arequipa!K24+Callao!K24+Huancayo!K24+VMT!K24+Cusco!K24+SJM!K24+Tacna!K24+Puno!K24+'La victoria'!K24+Pasco!K24+Tarata!K24+Pisco!K24+Tayacaja!K24+Ferreñafe!K24+Satipo!K24+Huanta!K24+'Mariscal Nieto'!K24+Loreto!K24+Acobamba!K24+Lurin!K24+Huaylas!K24+Yauli!K24+Cahuaz!K24+Junin!K24+Yungay!K24</f>
        <v>209150.23510310566</v>
      </c>
      <c r="F58" s="55">
        <f t="shared" si="6"/>
        <v>5437906.112680747</v>
      </c>
      <c r="G58" s="60">
        <f t="shared" si="4"/>
        <v>6711020.984765613</v>
      </c>
      <c r="H58" s="60">
        <v>1736907.1535878824</v>
      </c>
      <c r="I58" s="60">
        <v>1694543.5644759838</v>
      </c>
      <c r="J58" s="60">
        <v>1653213.2336351057</v>
      </c>
      <c r="K58" s="60">
        <v>1612890.9596440063</v>
      </c>
      <c r="L58" s="60">
        <v>1573552.1557502493</v>
      </c>
      <c r="M58" s="60">
        <v>1519351.922293492</v>
      </c>
      <c r="N58" s="60">
        <v>1251180.4593141216</v>
      </c>
      <c r="O58" s="60">
        <v>984960.9912838783</v>
      </c>
      <c r="P58" s="60">
        <v>697720.7647732524</v>
      </c>
      <c r="Q58" s="60">
        <v>697720.7647732524</v>
      </c>
      <c r="R58" s="60"/>
      <c r="S58" s="60"/>
      <c r="T58" s="60"/>
      <c r="U58" s="60"/>
      <c r="V58" s="60"/>
      <c r="W58" s="60"/>
      <c r="X58" s="60"/>
      <c r="Y58" s="60"/>
      <c r="Z58" s="60"/>
      <c r="AA58" s="60"/>
      <c r="AB58" s="60"/>
      <c r="AC58">
        <f t="shared" si="7"/>
        <v>1500000</v>
      </c>
      <c r="AD58" s="55">
        <f t="shared" si="5"/>
        <v>4591166.719073664</v>
      </c>
    </row>
    <row r="59" spans="2:30" ht="12.75">
      <c r="B59" t="s">
        <v>293</v>
      </c>
      <c r="C59" s="55">
        <f>+(Arequipa!D26*Arequipa!F26+Callao!D26*Callao!F26+Huancayo!D26*Huancayo!F26+VMT!D26*VMT!F26+Cusco!D26*Cusco!F26+SJM!D26*SJM!F26+Tacna!D26*Tacna!F26+Puno!D26*Puno!F26+'La victoria'!D26*'La victoria'!F26+Pasco!D26*Pasco!F26+Tarata!D26*Tarata!F26+Pisco!D26*Pisco!F26+Tayacaja!D26*Tayacaja!F26+Ferreñafe!D26*Ferreñafe!F26+Satipo!D26*Satipo!F26+Huanta!D26*Huanta!F26+'Mariscal Nieto'!D26*'Mariscal Nieto'!F26+Loreto!D26*Loreto!F26+Acobamba!D26*Acobamba!F26+Lurin!D26*Lurin!F26+Huaylas!D26*Huaylas!F26+Yauli!D26*Yauli!F26+Cahuaz!D26*Cahuaz!F26+Junin!D26*Junin!F26+Yungay!D26*Yungay!F26)*$C$5/95</f>
        <v>17619824.242328655</v>
      </c>
      <c r="D59" s="55">
        <f t="shared" si="3"/>
        <v>8809912.121164327</v>
      </c>
      <c r="E59" s="55">
        <f>+Arequipa!K25+Callao!K25+Huancayo!K25+VMT!K25+Cusco!K25+SJM!K25+Tacna!K25+Puno!K25+'La victoria'!K25+Pasco!K25+Tarata!K25+Pisco!K25+Tayacaja!K25+Ferreñafe!K25+Satipo!K25+Huanta!K25+'Mariscal Nieto'!K25+Loreto!K25+Acobamba!K25+Lurin!K25+Huaylas!K25+Yauli!K25+Cahuaz!K25+Junin!K25+Yungay!K25</f>
        <v>230610.1391273688</v>
      </c>
      <c r="F59" s="55">
        <f t="shared" si="6"/>
        <v>5995863.617311589</v>
      </c>
      <c r="G59" s="60">
        <f t="shared" si="4"/>
        <v>7888426.127490028</v>
      </c>
      <c r="H59" s="60">
        <v>1780329.83242758</v>
      </c>
      <c r="I59" s="60">
        <v>1736907.1535878824</v>
      </c>
      <c r="J59" s="60">
        <v>1694543.5644759838</v>
      </c>
      <c r="K59" s="60">
        <v>1653213.2336351057</v>
      </c>
      <c r="L59" s="60">
        <v>1612890.9596440063</v>
      </c>
      <c r="M59" s="60">
        <v>1573552.1557502493</v>
      </c>
      <c r="N59" s="60">
        <v>1519351.922293492</v>
      </c>
      <c r="O59" s="60">
        <v>1251180.4593141216</v>
      </c>
      <c r="P59" s="60">
        <v>984960.9912838783</v>
      </c>
      <c r="Q59" s="60">
        <v>984960.9912838783</v>
      </c>
      <c r="R59" s="60">
        <v>984960.9912838783</v>
      </c>
      <c r="S59" s="60"/>
      <c r="T59" s="60"/>
      <c r="U59" s="60"/>
      <c r="V59" s="60"/>
      <c r="W59" s="60"/>
      <c r="X59" s="60"/>
      <c r="Y59" s="60"/>
      <c r="Z59" s="60"/>
      <c r="AA59" s="60"/>
      <c r="AB59" s="60"/>
      <c r="AC59">
        <f t="shared" si="7"/>
        <v>1500000</v>
      </c>
      <c r="AD59" s="55">
        <f t="shared" si="5"/>
        <v>8165544.342710955</v>
      </c>
    </row>
    <row r="60" spans="2:30" ht="12.75">
      <c r="B60" t="s">
        <v>294</v>
      </c>
      <c r="C60" s="55">
        <f>+(Arequipa!D27*Arequipa!F27+Callao!D27*Callao!F27+Huancayo!D27*Huancayo!F27+VMT!D27*VMT!F27+Cusco!D27*Cusco!F27+SJM!D27*SJM!F27+Tacna!D27*Tacna!F27+Puno!D27*Puno!F27+'La victoria'!D27*'La victoria'!F27+Pasco!D27*Pasco!F27+Tarata!D27*Tarata!F27+Pisco!D27*Pisco!F27+Tayacaja!D27*Tayacaja!F27+Ferreñafe!D27*Ferreñafe!F27+Satipo!D27*Satipo!F27+Huanta!D27*Huanta!F27+'Mariscal Nieto'!D27*'Mariscal Nieto'!F27+Loreto!D27*Loreto!F27+Acobamba!D27*Acobamba!F27+Lurin!D27*Lurin!F27+Huaylas!D27*Huaylas!F27+Yauli!D27*Yauli!F27+Cahuaz!D27*Cahuaz!F27+Junin!D27*Junin!F27+Yungay!D27*Yungay!F27)*$C$5/95</f>
        <v>18060319.84838687</v>
      </c>
      <c r="D60" s="55">
        <f t="shared" si="3"/>
        <v>9030159.924193434</v>
      </c>
      <c r="E60" s="55">
        <f>+Arequipa!K26+Callao!K26+Huancayo!K26+VMT!K26+Cusco!K26+SJM!K26+Tacna!K26+Puno!K26+'La victoria'!K26+Pasco!K26+Tarata!K26+Pisco!K26+Tayacaja!K26+Ferreñafe!K26+Satipo!K26+Huanta!K26+'Mariscal Nieto'!K26+Loreto!K26+Acobamba!K26+Lurin!K26+Huaylas!K26+Yauli!K26+Cahuaz!K26+Junin!K26+Yungay!K26</f>
        <v>252170.98281758875</v>
      </c>
      <c r="F60" s="55">
        <f t="shared" si="6"/>
        <v>6556445.553257308</v>
      </c>
      <c r="G60" s="60">
        <f t="shared" si="4"/>
        <v>9200174.368654527</v>
      </c>
      <c r="H60" s="60">
        <v>1824838.0782382693</v>
      </c>
      <c r="I60" s="60">
        <v>1780329.83242758</v>
      </c>
      <c r="J60" s="60">
        <v>1736907.1535878824</v>
      </c>
      <c r="K60" s="60">
        <v>1694543.5644759838</v>
      </c>
      <c r="L60" s="60">
        <v>1653213.2336351057</v>
      </c>
      <c r="M60" s="60">
        <v>1612890.9596440063</v>
      </c>
      <c r="N60" s="60">
        <v>1573552.1557502493</v>
      </c>
      <c r="O60" s="60">
        <v>1519351.922293492</v>
      </c>
      <c r="P60" s="60">
        <v>1251180.4593141216</v>
      </c>
      <c r="Q60" s="60">
        <v>1251180.4593141216</v>
      </c>
      <c r="R60" s="60">
        <v>1251180.4593141216</v>
      </c>
      <c r="S60" s="60">
        <v>1251180.4593141216</v>
      </c>
      <c r="T60" s="60"/>
      <c r="U60" s="60"/>
      <c r="V60" s="60"/>
      <c r="W60" s="60"/>
      <c r="X60" s="60"/>
      <c r="Y60" s="60"/>
      <c r="Z60" s="60"/>
      <c r="AA60" s="60"/>
      <c r="AB60" s="60"/>
      <c r="AC60">
        <f t="shared" si="7"/>
        <v>1500000</v>
      </c>
      <c r="AD60" s="55">
        <f t="shared" si="5"/>
        <v>13392004.340429358</v>
      </c>
    </row>
    <row r="61" spans="2:30" ht="12.75">
      <c r="B61" t="s">
        <v>295</v>
      </c>
      <c r="C61" s="55">
        <f>+(Arequipa!D28*Arequipa!F28+Callao!D28*Callao!F28+Huancayo!D28*Huancayo!F28+VMT!D28*VMT!F28+Cusco!D28*Cusco!F28+SJM!D28*SJM!F28+Tacna!D28*Tacna!F28+Puno!D28*Puno!F28+'La victoria'!D28*'La victoria'!F28+Pasco!D28*Pasco!F28+Tarata!D28*Tarata!F28+Pisco!D28*Pisco!F28+Tayacaja!D28*Tayacaja!F28+Ferreñafe!D28*Ferreñafe!F28+Satipo!D28*Satipo!F28+Huanta!D28*Huanta!F28+'Mariscal Nieto'!D28*'Mariscal Nieto'!F28+Loreto!D28*Loreto!F28+Acobamba!D28*Acobamba!F28+Lurin!D28*Lurin!F28+Huaylas!D28*Huaylas!F28+Yauli!D28*Yauli!F28+Cahuaz!D28*Cahuaz!F28+Junin!D28*Junin!F28+Yungay!D28*Yungay!F28)*$C$5/95</f>
        <v>18511827.84459654</v>
      </c>
      <c r="D61" s="55">
        <f t="shared" si="3"/>
        <v>9255913.92229827</v>
      </c>
      <c r="E61" s="55">
        <f>+Arequipa!K27+Callao!K27+Huancayo!K27+VMT!K27+Cusco!K27+SJM!K27+Tacna!K27+Puno!K27+'La victoria'!K27+Pasco!K27+Tarata!K27+Pisco!K27+Tayacaja!K27+Ferreñafe!K27+Satipo!K27+Huanta!K27+'Mariscal Nieto'!K27+Loreto!K27+Acobamba!K27+Lurin!K27+Huaylas!K27+Yauli!K27+Cahuaz!K27+Junin!K27+Yungay!K27</f>
        <v>273833.24095763004</v>
      </c>
      <c r="F61" s="55">
        <f t="shared" si="6"/>
        <v>7119664.264898381</v>
      </c>
      <c r="G61" s="60">
        <f t="shared" si="4"/>
        <v>10671746.80971038</v>
      </c>
      <c r="H61" s="60">
        <v>1870459.0301942253</v>
      </c>
      <c r="I61" s="60">
        <v>1824838.0782382693</v>
      </c>
      <c r="J61" s="60">
        <v>1780329.83242758</v>
      </c>
      <c r="K61" s="60">
        <v>1736907.1535878824</v>
      </c>
      <c r="L61" s="60">
        <v>1694543.5644759838</v>
      </c>
      <c r="M61" s="60">
        <v>1653213.2336351057</v>
      </c>
      <c r="N61" s="60">
        <v>1612890.9596440063</v>
      </c>
      <c r="O61" s="60">
        <v>1573552.1557502493</v>
      </c>
      <c r="P61" s="60">
        <v>1519351.922293492</v>
      </c>
      <c r="Q61" s="60">
        <v>1519351.922293492</v>
      </c>
      <c r="R61" s="60">
        <v>1519351.922293492</v>
      </c>
      <c r="S61" s="60">
        <v>1519351.922293492</v>
      </c>
      <c r="T61" s="60">
        <v>1519351.922293492</v>
      </c>
      <c r="U61" s="60"/>
      <c r="V61" s="60"/>
      <c r="W61" s="60"/>
      <c r="X61" s="60"/>
      <c r="Y61" s="60"/>
      <c r="Z61" s="60"/>
      <c r="AA61" s="60"/>
      <c r="AB61" s="60"/>
      <c r="AC61">
        <f t="shared" si="7"/>
        <v>1500000</v>
      </c>
      <c r="AD61" s="55">
        <f t="shared" si="5"/>
        <v>20427501.49273985</v>
      </c>
    </row>
    <row r="62" spans="2:30" ht="12.75">
      <c r="B62" t="s">
        <v>296</v>
      </c>
      <c r="C62" s="55">
        <f>+(Arequipa!D29*Arequipa!F29+Callao!D29*Callao!F29+Huancayo!D29*Huancayo!F29+VMT!D29*VMT!F29+Cusco!D29*Cusco!F29+SJM!D29*SJM!F29+Tacna!D29*Tacna!F29+Puno!D29*Puno!F29+'La victoria'!D29*'La victoria'!F29+Pasco!D29*Pasco!F29+Tarata!D29*Tarata!F29+Pisco!D29*Pisco!F29+Tayacaja!D29*Tayacaja!F29+Ferreñafe!D29*Ferreñafe!F29+Satipo!D29*Satipo!F29+Huanta!D29*Huanta!F29+'Mariscal Nieto'!D29*'Mariscal Nieto'!F29+Loreto!D29*Loreto!F29+Acobamba!D29*Acobamba!F29+Lurin!D29*Lurin!F29+Huaylas!D29*Huaylas!F29+Yauli!D29*Yauli!F29+Cahuaz!D29*Cahuaz!F29+Junin!D29*Junin!F29+Yungay!D29*Yungay!F29)*$C$5/95</f>
        <v>18974623.540711448</v>
      </c>
      <c r="D62" s="55">
        <f t="shared" si="3"/>
        <v>9487311.770355724</v>
      </c>
      <c r="E62" s="55">
        <f>+Arequipa!K28+Callao!K28+Huancayo!K28+VMT!K28+Cusco!K28+SJM!K28+Tacna!K28+Puno!K28+'La victoria'!K28+Pasco!K28+Tarata!K28+Pisco!K28+Tayacaja!K28+Ferreñafe!K28+Satipo!K28+Huanta!K28+'Mariscal Nieto'!K28+Loreto!K28+Acobamba!K28+Lurin!K28+Huaylas!K28+Yauli!K28+Cahuaz!K28+Junin!K28+Yungay!K28</f>
        <v>295597.39056456916</v>
      </c>
      <c r="F62" s="55">
        <f t="shared" si="6"/>
        <v>7685532.154678798</v>
      </c>
      <c r="G62" s="60">
        <f t="shared" si="4"/>
        <v>11765857.646326814</v>
      </c>
      <c r="H62" s="60">
        <v>1917220.505949081</v>
      </c>
      <c r="I62" s="60">
        <v>1870459.0301942253</v>
      </c>
      <c r="J62" s="60">
        <v>1824838.0782382693</v>
      </c>
      <c r="K62" s="60">
        <v>1780329.83242758</v>
      </c>
      <c r="L62" s="60">
        <v>1736907.1535878824</v>
      </c>
      <c r="M62" s="60">
        <v>1694543.5644759838</v>
      </c>
      <c r="N62" s="60">
        <v>1653213.2336351057</v>
      </c>
      <c r="O62" s="60">
        <v>1612890.9596440063</v>
      </c>
      <c r="P62" s="60">
        <v>1573552.1557502493</v>
      </c>
      <c r="Q62" s="60">
        <v>1573552.1557502493</v>
      </c>
      <c r="R62" s="60">
        <v>1573552.1557502493</v>
      </c>
      <c r="S62" s="60">
        <v>1573552.1557502493</v>
      </c>
      <c r="T62" s="60">
        <v>1573552.1557502493</v>
      </c>
      <c r="U62" s="60">
        <v>1573552.1557502493</v>
      </c>
      <c r="V62" s="60"/>
      <c r="W62" s="60"/>
      <c r="X62" s="60"/>
      <c r="Y62" s="60"/>
      <c r="Z62" s="60"/>
      <c r="AA62" s="60"/>
      <c r="AB62" s="60"/>
      <c r="AC62">
        <f t="shared" si="7"/>
        <v>1500000</v>
      </c>
      <c r="AD62" s="55">
        <f t="shared" si="5"/>
        <v>28891579.523389734</v>
      </c>
    </row>
    <row r="63" spans="2:30" ht="12.75">
      <c r="B63" t="s">
        <v>297</v>
      </c>
      <c r="C63" s="55">
        <f>+(Arequipa!D30*Arequipa!F30+Callao!D30*Callao!F30+Huancayo!D30*Huancayo!F30+VMT!D30*VMT!F30+Cusco!D30*Cusco!F30+SJM!D30*SJM!F30+Tacna!D30*Tacna!F30+Puno!D30*Puno!F30+'La victoria'!D30*'La victoria'!F30+Pasco!D30*Pasco!F30+Tarata!D30*Tarata!F30+Pisco!D30*Pisco!F30+Tayacaja!D30*Tayacaja!F30+Ferreñafe!D30*Ferreñafe!F30+Satipo!D30*Satipo!F30+Huanta!D30*Huanta!F30+'Mariscal Nieto'!D30*'Mariscal Nieto'!F30+Loreto!D30*Loreto!F30+Acobamba!D30*Acobamba!F30+Lurin!D30*Lurin!F30+Huaylas!D30*Huaylas!F30+Yauli!D30*Yauli!F30+Cahuaz!D30*Cahuaz!F30+Junin!D30*Junin!F30+Yungay!D30*Yungay!F30)*$C$5/95</f>
        <v>19448989.12922923</v>
      </c>
      <c r="D63" s="55">
        <f t="shared" si="3"/>
        <v>9724494.564614614</v>
      </c>
      <c r="E63" s="55">
        <f>+Arequipa!K29+Callao!K29+Huancayo!K29+VMT!K29+Cusco!K29+SJM!K29+Tacna!K29+Puno!K29+'La victoria'!K29+Pasco!K29+Tarata!K29+Pisco!K29+Tayacaja!K29+Ferreñafe!K29+Satipo!K29+Huanta!K29+'Mariscal Nieto'!K29+Loreto!K29+Acobamba!K29+Lurin!K29+Huaylas!K29+Yauli!K29+Cahuaz!K29+Junin!K29+Yungay!K29</f>
        <v>317463.91089920007</v>
      </c>
      <c r="F63" s="55">
        <f t="shared" si="6"/>
        <v>8254061.683379202</v>
      </c>
      <c r="G63" s="60">
        <f t="shared" si="4"/>
        <v>12866449.567306984</v>
      </c>
      <c r="H63" s="60">
        <v>1965151.018597807</v>
      </c>
      <c r="I63" s="60">
        <v>1917220.505949081</v>
      </c>
      <c r="J63" s="60">
        <v>1870459.0301942253</v>
      </c>
      <c r="K63" s="60">
        <v>1824838.0782382693</v>
      </c>
      <c r="L63" s="60">
        <v>1780329.83242758</v>
      </c>
      <c r="M63" s="60">
        <v>1736907.1535878824</v>
      </c>
      <c r="N63" s="60">
        <v>1694543.5644759838</v>
      </c>
      <c r="O63" s="60">
        <v>1653213.2336351057</v>
      </c>
      <c r="P63" s="60">
        <v>1612890.9596440063</v>
      </c>
      <c r="Q63" s="60">
        <v>1612890.9596440063</v>
      </c>
      <c r="R63" s="60">
        <v>1612890.9596440063</v>
      </c>
      <c r="S63" s="60">
        <v>1612890.9596440063</v>
      </c>
      <c r="T63" s="60">
        <v>1612890.9596440063</v>
      </c>
      <c r="U63" s="60">
        <v>1612890.9596440063</v>
      </c>
      <c r="V63" s="60">
        <v>1612890.9596440063</v>
      </c>
      <c r="W63" s="60"/>
      <c r="X63" s="60"/>
      <c r="Y63" s="60"/>
      <c r="Z63" s="60"/>
      <c r="AA63" s="60"/>
      <c r="AB63" s="60"/>
      <c r="AC63">
        <f t="shared" si="7"/>
        <v>1500000</v>
      </c>
      <c r="AD63" s="55">
        <f t="shared" si="5"/>
        <v>38787596.20946131</v>
      </c>
    </row>
    <row r="64" spans="2:30" ht="12.75">
      <c r="B64" t="s">
        <v>298</v>
      </c>
      <c r="C64" s="55">
        <f>+(Arequipa!D31*Arequipa!F31+Callao!D31*Callao!F31+Huancayo!D31*Huancayo!F31+VMT!D31*VMT!F31+Cusco!D31*Cusco!F31+SJM!D31*SJM!F31+Tacna!D31*Tacna!F31+Puno!D31*Puno!F31+'La victoria'!D31*'La victoria'!F31+Pasco!D31*Pasco!F31+Tarata!D31*Tarata!F31+Pisco!D31*Pisco!F31+Tayacaja!D31*Tayacaja!F31+Ferreñafe!D31*Ferreñafe!F31+Satipo!D31*Satipo!F31+Huanta!D31*Huanta!F31+'Mariscal Nieto'!D31*'Mariscal Nieto'!F31+Loreto!D31*Loreto!F31+Acobamba!D31*Acobamba!F31+Lurin!D31*Lurin!F31+Huaylas!D31*Huaylas!F31+Yauli!D31*Yauli!F31+Cahuaz!D31*Cahuaz!F31+Junin!D31*Junin!F31+Yungay!D31*Yungay!F31)*$C$5/95</f>
        <v>19935213.857459966</v>
      </c>
      <c r="D64" s="55">
        <f t="shared" si="3"/>
        <v>9967606.928729983</v>
      </c>
      <c r="E64" s="55">
        <f>+Arequipa!K30+Callao!K30+Huancayo!K30+VMT!K30+Cusco!K30+SJM!K30+Tacna!K30+Puno!K30+'La victoria'!K30+Pasco!K30+Tarata!K30+Pisco!K30+Tayacaja!K30+Ferreñafe!K30+Satipo!K30+Huanta!K30+'Mariscal Nieto'!K30+Loreto!K30+Acobamba!K30+Lurin!K30+Huaylas!K30+Yauli!K30+Cahuaz!K30+Junin!K30+Yungay!K30</f>
        <v>339433.28347658645</v>
      </c>
      <c r="F64" s="55">
        <f t="shared" si="6"/>
        <v>8825265.370391248</v>
      </c>
      <c r="G64" s="60">
        <f t="shared" si="4"/>
        <v>14014717.423307212</v>
      </c>
      <c r="H64" s="60">
        <v>2014279.7940627527</v>
      </c>
      <c r="I64" s="60">
        <v>1965151.018597807</v>
      </c>
      <c r="J64" s="60">
        <v>1917220.505949081</v>
      </c>
      <c r="K64" s="60">
        <v>1870459.0301942253</v>
      </c>
      <c r="L64" s="60">
        <v>1824838.0782382693</v>
      </c>
      <c r="M64" s="60">
        <v>1780329.83242758</v>
      </c>
      <c r="N64" s="60">
        <v>1736907.1535878824</v>
      </c>
      <c r="O64" s="60">
        <v>1694543.5644759838</v>
      </c>
      <c r="P64" s="60">
        <v>1653213.2336351057</v>
      </c>
      <c r="Q64" s="60">
        <v>1653213.2336351057</v>
      </c>
      <c r="R64" s="60">
        <v>1653213.2336351057</v>
      </c>
      <c r="S64" s="60">
        <v>1653213.2336351057</v>
      </c>
      <c r="T64" s="60">
        <v>1653213.2336351057</v>
      </c>
      <c r="U64" s="60">
        <v>1653213.2336351057</v>
      </c>
      <c r="V64" s="60">
        <v>1653213.2336351057</v>
      </c>
      <c r="W64" s="60">
        <v>1653213.2336351057</v>
      </c>
      <c r="X64" s="60"/>
      <c r="Y64" s="60"/>
      <c r="Z64" s="60"/>
      <c r="AA64" s="60"/>
      <c r="AB64" s="60"/>
      <c r="AC64">
        <f t="shared" si="7"/>
        <v>1500000</v>
      </c>
      <c r="AD64" s="55">
        <f t="shared" si="5"/>
        <v>50159972.07442979</v>
      </c>
    </row>
    <row r="65" spans="2:30" ht="12.75">
      <c r="B65" t="s">
        <v>299</v>
      </c>
      <c r="C65" s="55">
        <f>+(Arequipa!D32*Arequipa!F32+Callao!D32*Callao!F32+Huancayo!D32*Huancayo!F32+VMT!D32*VMT!F32+Cusco!D32*Cusco!F32+SJM!D32*SJM!F32+Tacna!D32*Tacna!F32+Puno!D32*Puno!F32+'La victoria'!D32*'La victoria'!F32+Pasco!D32*Pasco!F32+Tarata!D32*Tarata!F32+Pisco!D32*Pisco!F32+Tayacaja!D32*Tayacaja!F32+Ferreñafe!D32*Ferreñafe!F32+Satipo!D32*Satipo!F32+Huanta!D32*Huanta!F32+'Mariscal Nieto'!D32*'Mariscal Nieto'!F32+Loreto!D32*Loreto!F32+Acobamba!D32*Acobamba!F32+Lurin!D32*Lurin!F32+Huaylas!D32*Huaylas!F32+Yauli!D32*Yauli!F32+Cahuaz!D32*Cahuaz!F32+Junin!D32*Junin!F32+Yungay!D32*Yungay!F32)*$C$5/95</f>
        <v>20433594.203896455</v>
      </c>
      <c r="D65" s="55">
        <f t="shared" si="3"/>
        <v>10216797.101948228</v>
      </c>
      <c r="E65" s="55">
        <f>+Arequipa!K31+Callao!K31+Huancayo!K31+VMT!K31+Cusco!K31+SJM!K31+Tacna!K31+Puno!K31+'La victoria'!K31+Pasco!K31+Tarata!K31+Pisco!K31+Tayacaja!K31+Ferreñafe!K31+Satipo!K31+Huanta!K31+'Mariscal Nieto'!K31+Loreto!K31+Acobamba!K31+Lurin!K31+Huaylas!K31+Yauli!K31+Cahuaz!K31+Junin!K31+Yungay!K31</f>
        <v>361505.99207666557</v>
      </c>
      <c r="F65" s="55">
        <f t="shared" si="6"/>
        <v>9399155.793993305</v>
      </c>
      <c r="G65" s="60">
        <f t="shared" si="4"/>
        <v>15212357.141127884</v>
      </c>
      <c r="H65" s="60">
        <v>2064636.788914321</v>
      </c>
      <c r="I65" s="60">
        <v>2014279.7940627527</v>
      </c>
      <c r="J65" s="60">
        <v>1965151.018597807</v>
      </c>
      <c r="K65" s="60">
        <v>1917220.505949081</v>
      </c>
      <c r="L65" s="60">
        <v>1870459.0301942253</v>
      </c>
      <c r="M65" s="60">
        <v>1824838.0782382693</v>
      </c>
      <c r="N65" s="60">
        <v>1780329.83242758</v>
      </c>
      <c r="O65" s="60">
        <v>1736907.1535878824</v>
      </c>
      <c r="P65" s="60">
        <v>1694543.5644759838</v>
      </c>
      <c r="Q65" s="60">
        <v>1694543.5644759838</v>
      </c>
      <c r="R65" s="60">
        <v>1694543.5644759838</v>
      </c>
      <c r="S65" s="60">
        <v>1694543.5644759838</v>
      </c>
      <c r="T65" s="60">
        <v>1694543.5644759838</v>
      </c>
      <c r="U65" s="60">
        <v>1694543.5644759838</v>
      </c>
      <c r="V65" s="60">
        <v>1694543.5644759838</v>
      </c>
      <c r="W65" s="60">
        <v>1694543.5644759838</v>
      </c>
      <c r="X65" s="60">
        <v>1694543.5644759838</v>
      </c>
      <c r="Y65" s="60"/>
      <c r="Z65" s="60"/>
      <c r="AA65" s="60"/>
      <c r="AB65" s="60"/>
      <c r="AC65">
        <f t="shared" si="7"/>
        <v>1500000</v>
      </c>
      <c r="AD65" s="55">
        <f t="shared" si="5"/>
        <v>63054687.90760274</v>
      </c>
    </row>
    <row r="66" spans="2:30" ht="12.75">
      <c r="B66" t="s">
        <v>300</v>
      </c>
      <c r="C66" s="55">
        <f>+(Arequipa!D33*Arequipa!F33+Callao!D33*Callao!F33+Huancayo!D33*Huancayo!F33+VMT!D33*VMT!F33+Cusco!D33*Cusco!F33+SJM!D33*SJM!F33+Tacna!D33*Tacna!F33+Puno!D33*Puno!F33+'La victoria'!D33*'La victoria'!F33+Pasco!D33*Pasco!F33+Tarata!D33*Tarata!F33+Pisco!D33*Pisco!F33+Tayacaja!D33*Tayacaja!F33+Ferreñafe!D33*Ferreñafe!F33+Satipo!D33*Satipo!F33+Huanta!D33*Huanta!F33+'Mariscal Nieto'!D33*'Mariscal Nieto'!F33+Loreto!D33*Loreto!F33+Acobamba!D33*Acobamba!F33+Lurin!D33*Lurin!F33+Huaylas!D33*Huaylas!F33+Yauli!D33*Yauli!F33+Cahuaz!D33*Cahuaz!F33+Junin!D33*Junin!F33+Yungay!D33*Yungay!F33)*$C$5/95</f>
        <v>20944434.05899387</v>
      </c>
      <c r="D66" s="55">
        <f t="shared" si="3"/>
        <v>10472217.029496934</v>
      </c>
      <c r="E66" s="55">
        <f>+Arequipa!K32+Callao!K32+Huancayo!K32+VMT!K32+Cusco!K32+SJM!K32+Tacna!K32+Puno!K32+'La victoria'!K32+Pasco!K32+Tarata!K32+Pisco!K32+Tayacaja!K32+Ferreñafe!K32+Satipo!K32+Huanta!K32+'Mariscal Nieto'!K32+Loreto!K32+Acobamba!K32+Lurin!K32+Huaylas!K32+Yauli!K32+Cahuaz!K32+Junin!K32+Yungay!K32</f>
        <v>383682.52275490214</v>
      </c>
      <c r="F66" s="55">
        <f t="shared" si="6"/>
        <v>9975745.591627456</v>
      </c>
      <c r="G66" s="60">
        <f t="shared" si="4"/>
        <v>16461119.646450015</v>
      </c>
      <c r="H66" s="60">
        <v>2116252.7086371793</v>
      </c>
      <c r="I66" s="60">
        <v>2064636.788914321</v>
      </c>
      <c r="J66" s="60">
        <v>2014279.7940627527</v>
      </c>
      <c r="K66" s="60">
        <v>1965151.018597807</v>
      </c>
      <c r="L66" s="60">
        <v>1917220.505949081</v>
      </c>
      <c r="M66" s="60">
        <v>1870459.0301942253</v>
      </c>
      <c r="N66" s="60">
        <v>1824838.0782382693</v>
      </c>
      <c r="O66" s="60">
        <v>1780329.83242758</v>
      </c>
      <c r="P66" s="60">
        <v>1736907.1535878824</v>
      </c>
      <c r="Q66" s="60">
        <v>1736907.1535878824</v>
      </c>
      <c r="R66" s="60">
        <v>1736907.1535878824</v>
      </c>
      <c r="S66" s="60">
        <v>1736907.1535878824</v>
      </c>
      <c r="T66" s="60">
        <v>1736907.1535878824</v>
      </c>
      <c r="U66" s="60">
        <v>1736907.1535878824</v>
      </c>
      <c r="V66" s="60">
        <v>1736907.1535878824</v>
      </c>
      <c r="W66" s="60">
        <v>1736907.1535878824</v>
      </c>
      <c r="X66" s="60">
        <v>1736907.1535878824</v>
      </c>
      <c r="Y66" s="60">
        <v>1736907.1535878824</v>
      </c>
      <c r="Z66" s="60"/>
      <c r="AA66" s="60"/>
      <c r="AB66" s="60"/>
      <c r="AC66">
        <f t="shared" si="7"/>
        <v>1500000</v>
      </c>
      <c r="AD66" s="55">
        <f t="shared" si="5"/>
        <v>77519336.11618328</v>
      </c>
    </row>
    <row r="67" spans="2:30" ht="12.75">
      <c r="B67" t="s">
        <v>301</v>
      </c>
      <c r="C67" s="55">
        <f>+(Arequipa!D34*Arequipa!F34+Callao!D34*Callao!F34+Huancayo!D34*Huancayo!F34+VMT!D34*VMT!F34+Cusco!D34*Cusco!F34+SJM!D34*SJM!F34+Tacna!D34*Tacna!F34+Puno!D34*Puno!F34+'La victoria'!D34*'La victoria'!F34+Pasco!D34*Pasco!F34+Tarata!D34*Tarata!F34+Pisco!D34*Pisco!F34+Tayacaja!D34*Tayacaja!F34+Ferreñafe!D34*Ferreñafe!F34+Satipo!D34*Satipo!F34+Huanta!D34*Huanta!F34+'Mariscal Nieto'!D34*'Mariscal Nieto'!F34+Loreto!D34*Loreto!F34+Acobamba!D34*Acobamba!F34+Lurin!D34*Lurin!F34+Huaylas!D34*Huaylas!F34+Yauli!D34*Yauli!F34+Cahuaz!D34*Cahuaz!F34+Junin!D34*Junin!F34+Yungay!D34*Yungay!F34)*$C$5/95</f>
        <v>21468044.910468712</v>
      </c>
      <c r="D67" s="55">
        <f t="shared" si="3"/>
        <v>10734022.455234356</v>
      </c>
      <c r="E67" s="55">
        <f>+Arequipa!K33+Callao!K33+Huancayo!K33+VMT!K33+Cusco!K33+SJM!K33+Tacna!K33+Puno!K33+'La victoria'!K33+Pasco!K33+Tarata!K33+Pisco!K33+Tayacaja!K33+Ferreñafe!K33+Satipo!K33+Huanta!K33+'Mariscal Nieto'!K33+Loreto!K33+Acobamba!K33+Lurin!K33+Huaylas!K33+Yauli!K33+Cahuaz!K33+Junin!K33+Yungay!K33</f>
        <v>405963.3638529898</v>
      </c>
      <c r="F67" s="55">
        <f t="shared" si="6"/>
        <v>10555047.460177734</v>
      </c>
      <c r="G67" s="60">
        <f t="shared" si="4"/>
        <v>17762812.553825058</v>
      </c>
      <c r="H67" s="60">
        <v>2169159.026353108</v>
      </c>
      <c r="I67" s="60">
        <v>2116252.7086371793</v>
      </c>
      <c r="J67" s="60">
        <v>2064636.788914321</v>
      </c>
      <c r="K67" s="60">
        <v>2014279.7940627527</v>
      </c>
      <c r="L67" s="60">
        <v>1965151.018597807</v>
      </c>
      <c r="M67" s="60">
        <v>1917220.505949081</v>
      </c>
      <c r="N67" s="60">
        <v>1870459.0301942253</v>
      </c>
      <c r="O67" s="60">
        <v>1824838.0782382693</v>
      </c>
      <c r="P67" s="60">
        <v>1780329.83242758</v>
      </c>
      <c r="Q67" s="60">
        <v>1780329.83242758</v>
      </c>
      <c r="R67" s="60">
        <v>1780329.83242758</v>
      </c>
      <c r="S67" s="60">
        <v>1780329.83242758</v>
      </c>
      <c r="T67" s="60">
        <v>1780329.83242758</v>
      </c>
      <c r="U67" s="60">
        <v>1780329.83242758</v>
      </c>
      <c r="V67" s="60">
        <v>1780329.83242758</v>
      </c>
      <c r="W67" s="60">
        <v>1780329.83242758</v>
      </c>
      <c r="X67" s="60">
        <v>1780329.83242758</v>
      </c>
      <c r="Y67" s="60">
        <v>1780329.83242758</v>
      </c>
      <c r="Z67" s="60">
        <v>1780329.83242758</v>
      </c>
      <c r="AA67" s="60"/>
      <c r="AB67" s="60"/>
      <c r="AC67">
        <f t="shared" si="7"/>
        <v>1500000</v>
      </c>
      <c r="AD67" s="55">
        <f t="shared" si="5"/>
        <v>93603173.67495173</v>
      </c>
    </row>
    <row r="68" spans="2:30" ht="12.75">
      <c r="B68" t="s">
        <v>302</v>
      </c>
      <c r="C68" s="55">
        <f>+(Arequipa!D35*Arequipa!F35+Callao!D35*Callao!F35+Huancayo!D35*Huancayo!F35+VMT!D35*VMT!F35+Cusco!D35*Cusco!F35+SJM!D35*SJM!F35+Tacna!D35*Tacna!F35+Puno!D35*Puno!F35+'La victoria'!D35*'La victoria'!F35+Pasco!D35*Pasco!F35+Tarata!D35*Tarata!F35+Pisco!D35*Pisco!F35+Tayacaja!D35*Tayacaja!F35+Ferreñafe!D35*Ferreñafe!F35+Satipo!D35*Satipo!F35+Huanta!D35*Huanta!F35+'Mariscal Nieto'!D35*'Mariscal Nieto'!F35+Loreto!D35*Loreto!F35+Acobamba!D35*Acobamba!F35+Lurin!D35*Lurin!F35+Huaylas!D35*Huaylas!F35+Yauli!D35*Yauli!F35+Cahuaz!D35*Cahuaz!F35+Junin!D35*Junin!F35+Yungay!D35*Yungay!F35)*$C$5/95</f>
        <v>22004746.03323043</v>
      </c>
      <c r="D68" s="55">
        <f t="shared" si="3"/>
        <v>11002373.016615216</v>
      </c>
      <c r="E68" s="55">
        <f>+Arequipa!K34+Callao!K34+Huancayo!K34+VMT!K34+Cusco!K34+SJM!K34+Tacna!K34+Puno!K34+'La victoria'!K34+Pasco!K34+Tarata!K34+Pisco!K34+Tayacaja!K34+Ferreñafe!K34+Satipo!K34+Huanta!K34+'Mariscal Nieto'!K34+Loreto!K34+Acobamba!K34+Lurin!K34+Huaylas!K34+Yauli!K34+Cahuaz!K34+Junin!K34+Yungay!K34</f>
        <v>428349.0060096069</v>
      </c>
      <c r="F68" s="55">
        <f t="shared" si="6"/>
        <v>11137074.156249778</v>
      </c>
      <c r="G68" s="60">
        <f t="shared" si="4"/>
        <v>19119301.90678983</v>
      </c>
      <c r="H68" s="60">
        <v>2223388.002011936</v>
      </c>
      <c r="I68" s="60">
        <v>2169159.026353108</v>
      </c>
      <c r="J68" s="60">
        <v>2116252.7086371793</v>
      </c>
      <c r="K68" s="60">
        <v>2064636.788914321</v>
      </c>
      <c r="L68" s="60">
        <v>2014279.7940627527</v>
      </c>
      <c r="M68" s="60">
        <v>1965151.018597807</v>
      </c>
      <c r="N68" s="60">
        <v>1917220.505949081</v>
      </c>
      <c r="O68" s="60">
        <v>1870459.0301942253</v>
      </c>
      <c r="P68" s="60">
        <v>1824838.0782382693</v>
      </c>
      <c r="Q68" s="60">
        <v>1824838.0782382693</v>
      </c>
      <c r="R68" s="60">
        <v>1824838.0782382693</v>
      </c>
      <c r="S68" s="60">
        <v>1824838.0782382693</v>
      </c>
      <c r="T68" s="60">
        <v>1824838.0782382693</v>
      </c>
      <c r="U68" s="60">
        <v>1824838.0782382693</v>
      </c>
      <c r="V68" s="60">
        <v>1824838.0782382693</v>
      </c>
      <c r="W68" s="60">
        <v>1824838.0782382693</v>
      </c>
      <c r="X68" s="60">
        <v>1824838.0782382693</v>
      </c>
      <c r="Y68" s="60">
        <v>1824838.0782382693</v>
      </c>
      <c r="Z68" s="60">
        <v>1824838.0782382693</v>
      </c>
      <c r="AA68" s="60">
        <v>1824838.0782382693</v>
      </c>
      <c r="AB68" s="60"/>
      <c r="AC68">
        <f t="shared" si="7"/>
        <v>1500000</v>
      </c>
      <c r="AD68" s="55">
        <f t="shared" si="5"/>
        <v>111357176.72137612</v>
      </c>
    </row>
    <row r="69" spans="2:30" ht="12.75">
      <c r="B69" t="s">
        <v>324</v>
      </c>
      <c r="C69">
        <v>0</v>
      </c>
      <c r="D69" s="63">
        <v>0</v>
      </c>
      <c r="E69" s="55">
        <f>+Arequipa!K35+Callao!K35+Huancayo!K35+VMT!K35+Cusco!K35+SJM!K35+Tacna!K35+Puno!K35+'La victoria'!K35+Pasco!K35+Tarata!K35+Pisco!K35+Tayacaja!K35+Ferreñafe!K35+Satipo!K35+Huanta!K35+'Mariscal Nieto'!K35+Loreto!K35+Acobamba!K35+Lurin!K35+Huaylas!K35+Yauli!K35+Cahuaz!K35+Junin!K35+Yungay!K35</f>
        <v>450839.9421712182</v>
      </c>
      <c r="F69" s="63">
        <f t="shared" si="6"/>
        <v>11721838.496451674</v>
      </c>
      <c r="G69" s="60">
        <f t="shared" si="4"/>
        <v>36073429.00036452</v>
      </c>
      <c r="H69" s="60">
        <v>33360802.763677955</v>
      </c>
      <c r="I69" s="60">
        <v>2223388.002011936</v>
      </c>
      <c r="J69" s="60">
        <v>2169159.026353108</v>
      </c>
      <c r="K69" s="60">
        <v>2116252.7086371793</v>
      </c>
      <c r="L69" s="60">
        <v>2064636.788914321</v>
      </c>
      <c r="M69" s="60">
        <v>2014279.7940627527</v>
      </c>
      <c r="N69" s="60">
        <v>1965151.018597807</v>
      </c>
      <c r="O69" s="60">
        <v>1917220.505949081</v>
      </c>
      <c r="P69" s="60">
        <v>1870459.0301942253</v>
      </c>
      <c r="Q69" s="60">
        <v>1870459.0301942253</v>
      </c>
      <c r="R69" s="60">
        <v>1870459.0301942253</v>
      </c>
      <c r="S69" s="60">
        <v>1870459.0301942253</v>
      </c>
      <c r="T69" s="60">
        <v>1870459.0301942253</v>
      </c>
      <c r="U69" s="60">
        <v>1870459.0301942253</v>
      </c>
      <c r="V69" s="60">
        <v>1870459.0301942253</v>
      </c>
      <c r="W69" s="60">
        <v>1870459.0301942253</v>
      </c>
      <c r="X69" s="60">
        <v>1870459.0301942253</v>
      </c>
      <c r="Y69" s="60">
        <v>1870459.0301942253</v>
      </c>
      <c r="Z69" s="60">
        <v>1870459.0301942253</v>
      </c>
      <c r="AA69" s="60">
        <v>1870459.0301942253</v>
      </c>
      <c r="AB69" s="60">
        <v>1870459.0301942253</v>
      </c>
      <c r="AC69">
        <f t="shared" si="7"/>
        <v>1500000</v>
      </c>
      <c r="AD69" s="55">
        <f t="shared" si="5"/>
        <v>157652444.2181923</v>
      </c>
    </row>
    <row r="70" spans="3:29" ht="12.75">
      <c r="C70" s="59">
        <f>SUM(C48:C68)</f>
        <v>330700108.3341014</v>
      </c>
      <c r="E70" s="59">
        <f>+Arequipa!K36+Callao!K36+Huancayo!K36+VMT!K36+Cusco!K36+SJM!K36+Tacna!K36+Puno!K36+'La victoria'!K36+Pasco!K36+Tarata!K36+Pisco!K36+Tayacaja!K36+Ferreñafe!K36+Satipo!K36+Huanta!K36+'Mariscal Nieto'!K36+Loreto!K36+Acobamba!K36+Lurin!K36+Huaylas!K36+Yauli!K36+Cahuaz!K36+Junin!K36+Yungay!K36</f>
        <v>4763772.015394794</v>
      </c>
      <c r="F70" s="59">
        <f>SUM(F48:F69)</f>
        <v>123858072.40026468</v>
      </c>
      <c r="G70" s="64">
        <f>SUM(G48:G69)/2</f>
        <v>100322212.99248917</v>
      </c>
      <c r="AC70" s="59">
        <f>SUM(AC48:AC69)</f>
        <v>31500000</v>
      </c>
    </row>
    <row r="71" ht="12.75">
      <c r="B71" t="s">
        <v>319</v>
      </c>
    </row>
    <row r="73" ht="12.75">
      <c r="B73" t="s">
        <v>320</v>
      </c>
    </row>
    <row r="74" ht="12.75">
      <c r="G74">
        <f>+F70/C70*100</f>
        <v>37.45329054296309</v>
      </c>
    </row>
    <row r="80" spans="9:28" ht="12.75">
      <c r="I80" s="60">
        <v>33360802.763677955</v>
      </c>
      <c r="J80" s="60">
        <v>2223388.002011936</v>
      </c>
      <c r="K80" s="60">
        <v>2169159.026353108</v>
      </c>
      <c r="L80" s="60">
        <v>2116252.7086371793</v>
      </c>
      <c r="M80" s="60">
        <v>2064636.788914321</v>
      </c>
      <c r="N80" s="60">
        <v>2014279.7940627527</v>
      </c>
      <c r="O80" s="60">
        <v>1965151.018597807</v>
      </c>
      <c r="P80" s="60">
        <v>1917220.505949081</v>
      </c>
      <c r="Q80" s="60">
        <v>1917220.505949081</v>
      </c>
      <c r="R80" s="60">
        <v>1917220.505949081</v>
      </c>
      <c r="S80" s="60">
        <v>1917220.505949081</v>
      </c>
      <c r="T80" s="60">
        <v>1917220.505949081</v>
      </c>
      <c r="U80" s="60">
        <v>1917220.505949081</v>
      </c>
      <c r="V80" s="60">
        <v>1917220.505949081</v>
      </c>
      <c r="W80" s="60">
        <v>1917220.505949081</v>
      </c>
      <c r="X80" s="60">
        <v>1917220.505949081</v>
      </c>
      <c r="Y80" s="60">
        <v>1917220.505949081</v>
      </c>
      <c r="Z80" s="60">
        <v>1917220.505949081</v>
      </c>
      <c r="AA80" s="60">
        <v>1917220.505949081</v>
      </c>
      <c r="AB80" s="60">
        <v>1917220.505949081</v>
      </c>
    </row>
    <row r="81" spans="10:28" ht="12.75">
      <c r="J81" s="60">
        <v>33360802.763677955</v>
      </c>
      <c r="K81" s="60">
        <v>2223388.002011936</v>
      </c>
      <c r="L81" s="60">
        <v>2169159.026353108</v>
      </c>
      <c r="M81" s="60">
        <v>2116252.7086371793</v>
      </c>
      <c r="N81" s="60">
        <v>2064636.788914321</v>
      </c>
      <c r="O81" s="60">
        <v>2014279.7940627527</v>
      </c>
      <c r="P81" s="60">
        <v>1965151.018597807</v>
      </c>
      <c r="Q81" s="60">
        <v>1965151.018597807</v>
      </c>
      <c r="R81" s="60">
        <v>1965151.018597807</v>
      </c>
      <c r="S81" s="60">
        <v>1965151.018597807</v>
      </c>
      <c r="T81" s="60">
        <v>1965151.018597807</v>
      </c>
      <c r="U81" s="60">
        <v>1965151.018597807</v>
      </c>
      <c r="V81" s="60">
        <v>1965151.018597807</v>
      </c>
      <c r="W81" s="60">
        <v>1965151.018597807</v>
      </c>
      <c r="X81" s="60">
        <v>1965151.018597807</v>
      </c>
      <c r="Y81" s="60">
        <v>1965151.018597807</v>
      </c>
      <c r="Z81" s="60">
        <v>1965151.018597807</v>
      </c>
      <c r="AA81" s="60">
        <v>1965151.018597807</v>
      </c>
      <c r="AB81" s="60">
        <v>1965151.018597807</v>
      </c>
    </row>
    <row r="82" spans="11:28" ht="12.75">
      <c r="K82" s="60">
        <v>33360802.763677955</v>
      </c>
      <c r="L82" s="60">
        <v>2223388.002011936</v>
      </c>
      <c r="M82" s="60">
        <v>2169159.026353108</v>
      </c>
      <c r="N82" s="60">
        <v>2116252.7086371793</v>
      </c>
      <c r="O82" s="60">
        <v>2064636.788914321</v>
      </c>
      <c r="P82" s="60">
        <v>2014279.7940627527</v>
      </c>
      <c r="Q82" s="60">
        <v>2014279.7940627527</v>
      </c>
      <c r="R82" s="60">
        <v>2014279.7940627527</v>
      </c>
      <c r="S82" s="60">
        <v>2014279.7940627527</v>
      </c>
      <c r="T82" s="60">
        <v>2014279.7940627527</v>
      </c>
      <c r="U82" s="60">
        <v>2014279.7940627527</v>
      </c>
      <c r="V82" s="60">
        <v>2014279.7940627527</v>
      </c>
      <c r="W82" s="60">
        <v>2014279.7940627527</v>
      </c>
      <c r="X82" s="60">
        <v>2014279.7940627527</v>
      </c>
      <c r="Y82" s="60">
        <v>2014279.7940627527</v>
      </c>
      <c r="Z82" s="60">
        <v>2014279.7940627527</v>
      </c>
      <c r="AA82" s="60">
        <v>2014279.7940627527</v>
      </c>
      <c r="AB82" s="60">
        <v>2014279.7940627527</v>
      </c>
    </row>
    <row r="83" spans="12:28" ht="12.75">
      <c r="L83" s="60">
        <v>33360802.763677955</v>
      </c>
      <c r="M83" s="60">
        <v>2223388.002011936</v>
      </c>
      <c r="N83" s="60">
        <v>2169159.026353108</v>
      </c>
      <c r="O83" s="60">
        <v>2116252.7086371793</v>
      </c>
      <c r="P83" s="60">
        <v>2064636.788914321</v>
      </c>
      <c r="Q83" s="60">
        <v>2064636.788914321</v>
      </c>
      <c r="R83" s="60">
        <v>2064636.788914321</v>
      </c>
      <c r="S83" s="60">
        <v>2064636.788914321</v>
      </c>
      <c r="T83" s="60">
        <v>2064636.788914321</v>
      </c>
      <c r="U83" s="60">
        <v>2064636.788914321</v>
      </c>
      <c r="V83" s="60">
        <v>2064636.788914321</v>
      </c>
      <c r="W83" s="60">
        <v>2064636.788914321</v>
      </c>
      <c r="X83" s="60">
        <v>2064636.788914321</v>
      </c>
      <c r="Y83" s="60">
        <v>2064636.788914321</v>
      </c>
      <c r="Z83" s="60">
        <v>2064636.788914321</v>
      </c>
      <c r="AA83" s="60">
        <v>2064636.788914321</v>
      </c>
      <c r="AB83" s="60">
        <v>2064636.788914321</v>
      </c>
    </row>
    <row r="84" spans="13:28" ht="12.75">
      <c r="M84" s="60">
        <v>33360802.763677955</v>
      </c>
      <c r="N84" s="60">
        <v>2223388.002011936</v>
      </c>
      <c r="O84" s="60">
        <v>2169159.026353108</v>
      </c>
      <c r="P84" s="60">
        <v>2116252.7086371793</v>
      </c>
      <c r="Q84" s="60">
        <v>2116252.7086371793</v>
      </c>
      <c r="R84" s="60">
        <v>2116252.7086371793</v>
      </c>
      <c r="S84" s="60">
        <v>2116252.7086371793</v>
      </c>
      <c r="T84" s="60">
        <v>2116252.7086371793</v>
      </c>
      <c r="U84" s="60">
        <v>2116252.7086371793</v>
      </c>
      <c r="V84" s="60">
        <v>2116252.7086371793</v>
      </c>
      <c r="W84" s="60">
        <v>2116252.7086371793</v>
      </c>
      <c r="X84" s="60">
        <v>2116252.7086371793</v>
      </c>
      <c r="Y84" s="60">
        <v>2116252.7086371793</v>
      </c>
      <c r="Z84" s="60">
        <v>2116252.7086371793</v>
      </c>
      <c r="AA84" s="60">
        <v>2116252.7086371793</v>
      </c>
      <c r="AB84" s="60">
        <v>2116252.7086371793</v>
      </c>
    </row>
    <row r="85" spans="14:28" ht="12.75">
      <c r="N85" s="60">
        <v>33360802.763677955</v>
      </c>
      <c r="O85" s="60">
        <v>2223388.002011936</v>
      </c>
      <c r="P85" s="60">
        <v>2169159.026353108</v>
      </c>
      <c r="Q85" s="60">
        <v>2169159.026353108</v>
      </c>
      <c r="R85" s="60">
        <v>2169159.026353108</v>
      </c>
      <c r="S85" s="60">
        <v>2169159.026353108</v>
      </c>
      <c r="T85" s="60">
        <v>2169159.026353108</v>
      </c>
      <c r="U85" s="60">
        <v>2169159.026353108</v>
      </c>
      <c r="V85" s="60">
        <v>2169159.026353108</v>
      </c>
      <c r="W85" s="60">
        <v>2169159.026353108</v>
      </c>
      <c r="X85" s="60">
        <v>2169159.026353108</v>
      </c>
      <c r="Y85" s="60">
        <v>2169159.026353108</v>
      </c>
      <c r="Z85" s="60">
        <v>2169159.026353108</v>
      </c>
      <c r="AA85" s="60">
        <v>2169159.026353108</v>
      </c>
      <c r="AB85" s="60">
        <v>2169159.026353108</v>
      </c>
    </row>
    <row r="86" spans="15:28" ht="12.75">
      <c r="O86" s="60">
        <v>33360802.763677955</v>
      </c>
      <c r="P86" s="60">
        <v>2223388.002011936</v>
      </c>
      <c r="Q86" s="60">
        <v>2223388.002011936</v>
      </c>
      <c r="R86" s="60">
        <v>2223388.002011936</v>
      </c>
      <c r="S86" s="60">
        <v>2223388.002011936</v>
      </c>
      <c r="T86" s="60">
        <v>2223388.002011936</v>
      </c>
      <c r="U86" s="60">
        <v>2223388.002011936</v>
      </c>
      <c r="V86" s="60">
        <v>2223388.002011936</v>
      </c>
      <c r="W86" s="60">
        <v>2223388.002011936</v>
      </c>
      <c r="X86" s="60">
        <v>2223388.002011936</v>
      </c>
      <c r="Y86" s="60">
        <v>2223388.002011936</v>
      </c>
      <c r="Z86" s="60">
        <v>2223388.002011936</v>
      </c>
      <c r="AA86" s="60">
        <v>2223388.002011936</v>
      </c>
      <c r="AB86" s="60">
        <v>2223388.002011936</v>
      </c>
    </row>
    <row r="87" spans="16:28" ht="12.75">
      <c r="P87" s="60">
        <v>33360802.763677955</v>
      </c>
      <c r="Q87" s="60">
        <v>33360802.763677955</v>
      </c>
      <c r="R87" s="60">
        <v>33360802.763677955</v>
      </c>
      <c r="S87" s="60">
        <v>33360802.763677955</v>
      </c>
      <c r="T87" s="60">
        <v>33360802.763677955</v>
      </c>
      <c r="U87" s="60">
        <v>33360802.763677955</v>
      </c>
      <c r="V87" s="60">
        <v>33360802.763677955</v>
      </c>
      <c r="W87" s="60">
        <v>33360802.763677955</v>
      </c>
      <c r="X87" s="60">
        <v>33360802.763677955</v>
      </c>
      <c r="Y87" s="60">
        <v>33360802.763677955</v>
      </c>
      <c r="Z87" s="60">
        <v>33360802.763677955</v>
      </c>
      <c r="AA87" s="60">
        <v>33360802.763677955</v>
      </c>
      <c r="AB87" s="60">
        <v>33360802.763677955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K36"/>
  <sheetViews>
    <sheetView tabSelected="1" zoomScalePageLayoutView="0" workbookViewId="0" topLeftCell="A9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73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PIGARS'!E12</f>
        <v>448.10792000000004</v>
      </c>
      <c r="D15" s="47">
        <f aca="true" t="shared" si="0" ref="D15:D35">+C15*365</f>
        <v>163559.39080000002</v>
      </c>
      <c r="E15" s="47">
        <f>2*$C$3*$C$4*D15*EXP(-1*$C$3*A15)</f>
        <v>529932.4261920002</v>
      </c>
      <c r="F15" s="47">
        <v>95</v>
      </c>
      <c r="G15" s="47">
        <f aca="true" t="shared" si="1" ref="G15:G35">+F15*E15/100</f>
        <v>503435.8048824002</v>
      </c>
      <c r="H15" s="47">
        <f aca="true" t="shared" si="2" ref="H15:H35">+G15/(24*365)</f>
        <v>57.46984074000002</v>
      </c>
      <c r="I15" s="48">
        <f aca="true" t="shared" si="3" ref="I15:I35">+G15*$C$6*$C$7*$C$8</f>
        <v>176.62541778494128</v>
      </c>
      <c r="J15" s="49">
        <f aca="true" t="shared" si="4" ref="J15:J35">+I15*$C$9</f>
        <v>8.831270889247063</v>
      </c>
      <c r="K15" s="47">
        <f aca="true" t="shared" si="5" ref="K15:K35">+(I15-J15)*21</f>
        <v>3523.6770848095784</v>
      </c>
    </row>
    <row r="16" spans="1:11" ht="12">
      <c r="A16" s="42">
        <v>1</v>
      </c>
      <c r="B16" s="45">
        <v>2008</v>
      </c>
      <c r="C16" s="46">
        <f aca="true" t="shared" si="6" ref="C16:C35">+C15*$C$5</f>
        <v>459.310618</v>
      </c>
      <c r="D16" s="47">
        <f t="shared" si="0"/>
        <v>167648.37557</v>
      </c>
      <c r="E16" s="47">
        <f aca="true" t="shared" si="7" ref="E16:E35">2*$C$3*$C$4*D16*EXP(-1*$C$3*A16)+E15</f>
        <v>1062357.4638150195</v>
      </c>
      <c r="F16" s="47">
        <v>95</v>
      </c>
      <c r="G16" s="47">
        <f t="shared" si="1"/>
        <v>1009239.5906242685</v>
      </c>
      <c r="H16" s="47">
        <f t="shared" si="2"/>
        <v>115.20999892971102</v>
      </c>
      <c r="I16" s="48">
        <f t="shared" si="3"/>
        <v>354.0816179746183</v>
      </c>
      <c r="J16" s="49">
        <f t="shared" si="4"/>
        <v>17.70408089873092</v>
      </c>
      <c r="K16" s="47">
        <f t="shared" si="5"/>
        <v>7063.928278593636</v>
      </c>
    </row>
    <row r="17" spans="1:11" ht="12">
      <c r="A17" s="42">
        <v>2</v>
      </c>
      <c r="B17" s="45">
        <v>2009</v>
      </c>
      <c r="C17" s="46">
        <f t="shared" si="6"/>
        <v>470.7933834499999</v>
      </c>
      <c r="D17" s="47">
        <f t="shared" si="0"/>
        <v>171839.58495924997</v>
      </c>
      <c r="E17" s="47">
        <f t="shared" si="7"/>
        <v>1597286.8372162366</v>
      </c>
      <c r="F17" s="47">
        <v>95</v>
      </c>
      <c r="G17" s="47">
        <f t="shared" si="1"/>
        <v>1517422.495355425</v>
      </c>
      <c r="H17" s="47">
        <f t="shared" si="2"/>
        <v>173.22174604513984</v>
      </c>
      <c r="I17" s="48">
        <f t="shared" si="3"/>
        <v>532.3725082704973</v>
      </c>
      <c r="J17" s="49">
        <f t="shared" si="4"/>
        <v>26.618625413524867</v>
      </c>
      <c r="K17" s="47">
        <f t="shared" si="5"/>
        <v>10620.831539996421</v>
      </c>
    </row>
    <row r="18" spans="1:11" ht="12">
      <c r="A18" s="42">
        <v>3</v>
      </c>
      <c r="B18" s="45">
        <v>2010</v>
      </c>
      <c r="C18" s="46">
        <f t="shared" si="6"/>
        <v>482.56321803624985</v>
      </c>
      <c r="D18" s="47">
        <f t="shared" si="0"/>
        <v>176135.5745832312</v>
      </c>
      <c r="E18" s="47">
        <f t="shared" si="7"/>
        <v>2134732.325889941</v>
      </c>
      <c r="F18" s="47">
        <v>95</v>
      </c>
      <c r="G18" s="47">
        <f t="shared" si="1"/>
        <v>2027995.709595444</v>
      </c>
      <c r="H18" s="47">
        <f t="shared" si="2"/>
        <v>231.5063595428589</v>
      </c>
      <c r="I18" s="48">
        <f t="shared" si="3"/>
        <v>711.5020147544656</v>
      </c>
      <c r="J18" s="49">
        <f t="shared" si="4"/>
        <v>35.57510073772328</v>
      </c>
      <c r="K18" s="47">
        <f t="shared" si="5"/>
        <v>14194.46519435159</v>
      </c>
    </row>
    <row r="19" spans="1:11" ht="12">
      <c r="A19" s="42">
        <v>4</v>
      </c>
      <c r="B19" s="45">
        <v>2011</v>
      </c>
      <c r="C19" s="46">
        <f t="shared" si="6"/>
        <v>494.62729848715605</v>
      </c>
      <c r="D19" s="47">
        <f t="shared" si="0"/>
        <v>180538.96394781195</v>
      </c>
      <c r="E19" s="47">
        <f t="shared" si="7"/>
        <v>2674705.764736923</v>
      </c>
      <c r="F19" s="47">
        <v>95</v>
      </c>
      <c r="G19" s="47">
        <f t="shared" si="1"/>
        <v>2540970.4765000767</v>
      </c>
      <c r="H19" s="47">
        <f t="shared" si="2"/>
        <v>290.0651228881366</v>
      </c>
      <c r="I19" s="48">
        <f t="shared" si="3"/>
        <v>891.4740819752868</v>
      </c>
      <c r="J19" s="49">
        <f t="shared" si="4"/>
        <v>44.573704098764345</v>
      </c>
      <c r="K19" s="47">
        <f t="shared" si="5"/>
        <v>17784.907935406973</v>
      </c>
    </row>
    <row r="20" spans="1:11" ht="12">
      <c r="A20" s="42">
        <v>5</v>
      </c>
      <c r="B20" s="45">
        <v>2012</v>
      </c>
      <c r="C20" s="46">
        <f t="shared" si="6"/>
        <v>506.99298094933494</v>
      </c>
      <c r="D20" s="47">
        <f t="shared" si="0"/>
        <v>185052.43804650725</v>
      </c>
      <c r="E20" s="47">
        <f t="shared" si="7"/>
        <v>3217219.0443250886</v>
      </c>
      <c r="F20" s="47">
        <v>95</v>
      </c>
      <c r="G20" s="47">
        <f t="shared" si="1"/>
        <v>3056358.0921088345</v>
      </c>
      <c r="H20" s="47">
        <f t="shared" si="2"/>
        <v>348.89932558320027</v>
      </c>
      <c r="I20" s="48">
        <f t="shared" si="3"/>
        <v>1072.2926730354634</v>
      </c>
      <c r="J20" s="49">
        <f t="shared" si="4"/>
        <v>53.614633651773175</v>
      </c>
      <c r="K20" s="47">
        <f t="shared" si="5"/>
        <v>21392.238827057496</v>
      </c>
    </row>
    <row r="21" spans="1:11" ht="12">
      <c r="A21" s="42">
        <v>6</v>
      </c>
      <c r="B21" s="45">
        <v>2013</v>
      </c>
      <c r="C21" s="46">
        <f t="shared" si="6"/>
        <v>519.6678054730683</v>
      </c>
      <c r="D21" s="47">
        <f t="shared" si="0"/>
        <v>189678.7489976699</v>
      </c>
      <c r="E21" s="47">
        <f t="shared" si="7"/>
        <v>3762284.1111512957</v>
      </c>
      <c r="F21" s="47">
        <v>95</v>
      </c>
      <c r="G21" s="47">
        <f t="shared" si="1"/>
        <v>3574169.905593731</v>
      </c>
      <c r="H21" s="47">
        <f t="shared" si="2"/>
        <v>408.0102631956314</v>
      </c>
      <c r="I21" s="48">
        <f t="shared" si="3"/>
        <v>1253.9617696785047</v>
      </c>
      <c r="J21" s="49">
        <f t="shared" si="4"/>
        <v>62.69808848392523</v>
      </c>
      <c r="K21" s="47">
        <f t="shared" si="5"/>
        <v>25016.537305086167</v>
      </c>
    </row>
    <row r="22" spans="1:11" ht="12">
      <c r="A22" s="42">
        <v>7</v>
      </c>
      <c r="B22" s="45">
        <v>2014</v>
      </c>
      <c r="C22" s="46">
        <f t="shared" si="6"/>
        <v>532.659500609895</v>
      </c>
      <c r="D22" s="47">
        <f t="shared" si="0"/>
        <v>194420.71772261165</v>
      </c>
      <c r="E22" s="47">
        <f t="shared" si="7"/>
        <v>4309912.967904424</v>
      </c>
      <c r="F22" s="47">
        <v>95</v>
      </c>
      <c r="G22" s="47">
        <f t="shared" si="1"/>
        <v>4094417.3195092026</v>
      </c>
      <c r="H22" s="47">
        <f t="shared" si="2"/>
        <v>467.39923738689527</v>
      </c>
      <c r="I22" s="48">
        <f t="shared" si="3"/>
        <v>1436.4853723766087</v>
      </c>
      <c r="J22" s="49">
        <f t="shared" si="4"/>
        <v>71.82426861883043</v>
      </c>
      <c r="K22" s="47">
        <f t="shared" si="5"/>
        <v>28657.88317891334</v>
      </c>
    </row>
    <row r="23" spans="1:11" ht="12">
      <c r="A23" s="42">
        <v>8</v>
      </c>
      <c r="B23" s="45">
        <v>2015</v>
      </c>
      <c r="C23" s="46">
        <f t="shared" si="6"/>
        <v>545.9759881251423</v>
      </c>
      <c r="D23" s="47">
        <f t="shared" si="0"/>
        <v>199281.23566567694</v>
      </c>
      <c r="E23" s="47">
        <f t="shared" si="7"/>
        <v>4860117.673729684</v>
      </c>
      <c r="F23" s="47">
        <v>95</v>
      </c>
      <c r="G23" s="47">
        <f t="shared" si="1"/>
        <v>4617111.7900432</v>
      </c>
      <c r="H23" s="47">
        <f t="shared" si="2"/>
        <v>527.0675559410046</v>
      </c>
      <c r="I23" s="48">
        <f t="shared" si="3"/>
        <v>1619.8675004187562</v>
      </c>
      <c r="J23" s="49">
        <f t="shared" si="4"/>
        <v>80.99337502093782</v>
      </c>
      <c r="K23" s="47">
        <f t="shared" si="5"/>
        <v>32316.35663335419</v>
      </c>
    </row>
    <row r="24" spans="1:11" ht="12">
      <c r="A24" s="42">
        <v>9</v>
      </c>
      <c r="B24" s="45">
        <v>2016</v>
      </c>
      <c r="C24" s="46">
        <f t="shared" si="6"/>
        <v>559.6253878282708</v>
      </c>
      <c r="D24" s="47">
        <f t="shared" si="0"/>
        <v>204263.26655731886</v>
      </c>
      <c r="E24" s="47">
        <f t="shared" si="7"/>
        <v>5412910.344494164</v>
      </c>
      <c r="F24" s="47">
        <v>95</v>
      </c>
      <c r="G24" s="47">
        <f t="shared" si="1"/>
        <v>5142264.827269455</v>
      </c>
      <c r="H24" s="47">
        <f t="shared" si="2"/>
        <v>587.0165327933169</v>
      </c>
      <c r="I24" s="48">
        <f t="shared" si="3"/>
        <v>1804.1121919992156</v>
      </c>
      <c r="J24" s="49">
        <f t="shared" si="4"/>
        <v>90.20560959996078</v>
      </c>
      <c r="K24" s="47">
        <f t="shared" si="5"/>
        <v>35992.03823038435</v>
      </c>
    </row>
    <row r="25" spans="1:11" ht="12">
      <c r="A25" s="42">
        <v>10</v>
      </c>
      <c r="B25" s="45">
        <v>2017</v>
      </c>
      <c r="C25" s="46">
        <f t="shared" si="6"/>
        <v>573.6160225239776</v>
      </c>
      <c r="D25" s="47">
        <f t="shared" si="0"/>
        <v>209369.8482212518</v>
      </c>
      <c r="E25" s="47">
        <f t="shared" si="7"/>
        <v>5968303.153053631</v>
      </c>
      <c r="F25" s="47">
        <v>95</v>
      </c>
      <c r="G25" s="47">
        <f t="shared" si="1"/>
        <v>5669887.995400949</v>
      </c>
      <c r="H25" s="47">
        <f t="shared" si="2"/>
        <v>647.2474880594691</v>
      </c>
      <c r="I25" s="48">
        <f t="shared" si="3"/>
        <v>1989.2235043064688</v>
      </c>
      <c r="J25" s="49">
        <f t="shared" si="4"/>
        <v>99.46117521532345</v>
      </c>
      <c r="K25" s="47">
        <f t="shared" si="5"/>
        <v>39685.00891091405</v>
      </c>
    </row>
    <row r="26" spans="1:11" ht="12">
      <c r="A26" s="42">
        <v>11</v>
      </c>
      <c r="B26" s="45">
        <v>2018</v>
      </c>
      <c r="C26" s="46">
        <f t="shared" si="6"/>
        <v>587.9564230870769</v>
      </c>
      <c r="D26" s="47">
        <f t="shared" si="0"/>
        <v>214604.0944267831</v>
      </c>
      <c r="E26" s="47">
        <f t="shared" si="7"/>
        <v>6526308.329520586</v>
      </c>
      <c r="F26" s="47">
        <v>95</v>
      </c>
      <c r="G26" s="47">
        <f t="shared" si="1"/>
        <v>6199992.913044556</v>
      </c>
      <c r="H26" s="47">
        <f t="shared" si="2"/>
        <v>707.761748064447</v>
      </c>
      <c r="I26" s="48">
        <f t="shared" si="3"/>
        <v>2175.205513612552</v>
      </c>
      <c r="J26" s="49">
        <f t="shared" si="4"/>
        <v>108.7602756806276</v>
      </c>
      <c r="K26" s="47">
        <f t="shared" si="5"/>
        <v>43395.3499965704</v>
      </c>
    </row>
    <row r="27" spans="1:11" ht="12">
      <c r="A27" s="42">
        <v>12</v>
      </c>
      <c r="B27" s="45">
        <v>2019</v>
      </c>
      <c r="C27" s="46">
        <f t="shared" si="6"/>
        <v>602.6553336642538</v>
      </c>
      <c r="D27" s="47">
        <f t="shared" si="0"/>
        <v>219969.19678745265</v>
      </c>
      <c r="E27" s="47">
        <f t="shared" si="7"/>
        <v>7086938.161533577</v>
      </c>
      <c r="F27" s="47">
        <v>95</v>
      </c>
      <c r="G27" s="47">
        <f t="shared" si="1"/>
        <v>6732591.253456899</v>
      </c>
      <c r="H27" s="47">
        <f t="shared" si="2"/>
        <v>768.5606453717921</v>
      </c>
      <c r="I27" s="48">
        <f t="shared" si="3"/>
        <v>2362.0623153628185</v>
      </c>
      <c r="J27" s="49">
        <f t="shared" si="4"/>
        <v>118.10311576814092</v>
      </c>
      <c r="K27" s="47">
        <f t="shared" si="5"/>
        <v>47123.14319148823</v>
      </c>
    </row>
    <row r="28" spans="1:11" ht="12">
      <c r="A28" s="42">
        <v>13</v>
      </c>
      <c r="B28" s="45">
        <v>2020</v>
      </c>
      <c r="C28" s="46">
        <f t="shared" si="6"/>
        <v>617.7217170058601</v>
      </c>
      <c r="D28" s="47">
        <f t="shared" si="0"/>
        <v>225468.42670713895</v>
      </c>
      <c r="E28" s="47">
        <f t="shared" si="7"/>
        <v>7650204.994527783</v>
      </c>
      <c r="F28" s="47">
        <v>95</v>
      </c>
      <c r="G28" s="47">
        <f t="shared" si="1"/>
        <v>7267694.744801394</v>
      </c>
      <c r="H28" s="47">
        <f t="shared" si="2"/>
        <v>829.6455188129445</v>
      </c>
      <c r="I28" s="48">
        <f t="shared" si="3"/>
        <v>2549.7980242661206</v>
      </c>
      <c r="J28" s="49">
        <f t="shared" si="4"/>
        <v>127.48990121330604</v>
      </c>
      <c r="K28" s="47">
        <f t="shared" si="5"/>
        <v>50868.470584109105</v>
      </c>
    </row>
    <row r="29" spans="1:11" ht="12">
      <c r="A29" s="42">
        <v>14</v>
      </c>
      <c r="B29" s="45">
        <v>2021</v>
      </c>
      <c r="C29" s="46">
        <f t="shared" si="6"/>
        <v>633.1647599310065</v>
      </c>
      <c r="D29" s="47">
        <f t="shared" si="0"/>
        <v>231105.1373748174</v>
      </c>
      <c r="E29" s="47">
        <f t="shared" si="7"/>
        <v>8216121.2320068665</v>
      </c>
      <c r="F29" s="47">
        <v>95</v>
      </c>
      <c r="G29" s="47">
        <f t="shared" si="1"/>
        <v>7805315.170406523</v>
      </c>
      <c r="H29" s="47">
        <f t="shared" si="2"/>
        <v>891.0177135167264</v>
      </c>
      <c r="I29" s="48">
        <f t="shared" si="3"/>
        <v>2738.4167743854246</v>
      </c>
      <c r="J29" s="49">
        <f t="shared" si="4"/>
        <v>136.92083871927125</v>
      </c>
      <c r="K29" s="47">
        <f t="shared" si="5"/>
        <v>54631.41464898922</v>
      </c>
    </row>
    <row r="30" spans="1:11" ht="12">
      <c r="A30" s="42">
        <v>15</v>
      </c>
      <c r="B30" s="45">
        <v>2022</v>
      </c>
      <c r="C30" s="46">
        <f t="shared" si="6"/>
        <v>648.9938789292817</v>
      </c>
      <c r="D30" s="47">
        <f t="shared" si="0"/>
        <v>236882.7658091878</v>
      </c>
      <c r="E30" s="47">
        <f t="shared" si="7"/>
        <v>8784699.33581611</v>
      </c>
      <c r="F30" s="47">
        <v>95</v>
      </c>
      <c r="G30" s="47">
        <f t="shared" si="1"/>
        <v>8345464.369025304</v>
      </c>
      <c r="H30" s="47">
        <f t="shared" si="2"/>
        <v>952.6785809389617</v>
      </c>
      <c r="I30" s="48">
        <f t="shared" si="3"/>
        <v>2927.922719228837</v>
      </c>
      <c r="J30" s="49">
        <f t="shared" si="4"/>
        <v>146.39613596144187</v>
      </c>
      <c r="K30" s="47">
        <f t="shared" si="5"/>
        <v>58412.0582486153</v>
      </c>
    </row>
    <row r="31" spans="1:11" ht="12">
      <c r="A31" s="42">
        <v>16</v>
      </c>
      <c r="B31" s="45">
        <v>2023</v>
      </c>
      <c r="C31" s="46">
        <f t="shared" si="6"/>
        <v>665.2187259025136</v>
      </c>
      <c r="D31" s="47">
        <f t="shared" si="0"/>
        <v>242804.83495441746</v>
      </c>
      <c r="E31" s="47">
        <f t="shared" si="7"/>
        <v>9355951.826416826</v>
      </c>
      <c r="F31" s="47">
        <v>95</v>
      </c>
      <c r="G31" s="47">
        <f t="shared" si="1"/>
        <v>8888154.235095985</v>
      </c>
      <c r="H31" s="47">
        <f t="shared" si="2"/>
        <v>1014.6294788922357</v>
      </c>
      <c r="I31" s="48">
        <f t="shared" si="3"/>
        <v>3118.320031841075</v>
      </c>
      <c r="J31" s="49">
        <f t="shared" si="4"/>
        <v>155.91600159205376</v>
      </c>
      <c r="K31" s="47">
        <f t="shared" si="5"/>
        <v>62210.48463522944</v>
      </c>
    </row>
    <row r="32" spans="1:11" ht="12">
      <c r="A32" s="42">
        <v>17</v>
      </c>
      <c r="B32" s="45">
        <v>2024</v>
      </c>
      <c r="C32" s="46">
        <f t="shared" si="6"/>
        <v>681.8491940500763</v>
      </c>
      <c r="D32" s="47">
        <f t="shared" si="0"/>
        <v>248874.95582827786</v>
      </c>
      <c r="E32" s="47">
        <f t="shared" si="7"/>
        <v>9929891.283162078</v>
      </c>
      <c r="F32" s="47">
        <v>95</v>
      </c>
      <c r="G32" s="47">
        <f t="shared" si="1"/>
        <v>9433396.719003974</v>
      </c>
      <c r="H32" s="47">
        <f t="shared" si="2"/>
        <v>1076.8717715757962</v>
      </c>
      <c r="I32" s="48">
        <f t="shared" si="3"/>
        <v>3309.6129048953535</v>
      </c>
      <c r="J32" s="49">
        <f t="shared" si="4"/>
        <v>165.4806452447677</v>
      </c>
      <c r="K32" s="47">
        <f t="shared" si="5"/>
        <v>66026.7774526623</v>
      </c>
    </row>
    <row r="33" spans="1:11" ht="12">
      <c r="A33" s="42">
        <v>18</v>
      </c>
      <c r="B33" s="45">
        <v>2025</v>
      </c>
      <c r="C33" s="46">
        <f t="shared" si="6"/>
        <v>698.8954239013282</v>
      </c>
      <c r="D33" s="47">
        <f t="shared" si="0"/>
        <v>255096.8297239848</v>
      </c>
      <c r="E33" s="47">
        <f t="shared" si="7"/>
        <v>10506530.344573677</v>
      </c>
      <c r="F33" s="47">
        <v>95</v>
      </c>
      <c r="G33" s="47">
        <f t="shared" si="1"/>
        <v>9981203.827344991</v>
      </c>
      <c r="H33" s="47">
        <f t="shared" si="2"/>
        <v>1139.4068296055925</v>
      </c>
      <c r="I33" s="48">
        <f t="shared" si="3"/>
        <v>3501.805550785716</v>
      </c>
      <c r="J33" s="49">
        <f t="shared" si="4"/>
        <v>175.0902775392858</v>
      </c>
      <c r="K33" s="47">
        <f t="shared" si="5"/>
        <v>69861.02073817504</v>
      </c>
    </row>
    <row r="34" spans="1:11" ht="12">
      <c r="A34" s="42">
        <v>19</v>
      </c>
      <c r="B34" s="45">
        <v>2026</v>
      </c>
      <c r="C34" s="46">
        <f t="shared" si="6"/>
        <v>716.3678094988613</v>
      </c>
      <c r="D34" s="47">
        <f t="shared" si="0"/>
        <v>261474.25046708438</v>
      </c>
      <c r="E34" s="47">
        <f t="shared" si="7"/>
        <v>11085881.70862049</v>
      </c>
      <c r="F34" s="47">
        <v>95</v>
      </c>
      <c r="G34" s="47">
        <f t="shared" si="1"/>
        <v>10531587.623189466</v>
      </c>
      <c r="H34" s="47">
        <f t="shared" si="2"/>
        <v>1202.2360300444595</v>
      </c>
      <c r="I34" s="48">
        <f t="shared" si="3"/>
        <v>3694.902201719792</v>
      </c>
      <c r="J34" s="49">
        <f t="shared" si="4"/>
        <v>184.7451100859896</v>
      </c>
      <c r="K34" s="47">
        <f t="shared" si="5"/>
        <v>73713.29892430984</v>
      </c>
    </row>
    <row r="35" spans="1:11" ht="12">
      <c r="A35" s="42">
        <v>20</v>
      </c>
      <c r="B35" s="45">
        <v>2027</v>
      </c>
      <c r="C35" s="46">
        <f t="shared" si="6"/>
        <v>734.2770047363329</v>
      </c>
      <c r="D35" s="47">
        <f t="shared" si="0"/>
        <v>268011.1067287615</v>
      </c>
      <c r="E35" s="47">
        <f t="shared" si="7"/>
        <v>11667958.132998066</v>
      </c>
      <c r="F35" s="47">
        <v>95</v>
      </c>
      <c r="G35" s="47">
        <f t="shared" si="1"/>
        <v>11084560.226348162</v>
      </c>
      <c r="H35" s="47">
        <f t="shared" si="2"/>
        <v>1265.3607564324386</v>
      </c>
      <c r="I35" s="48">
        <f t="shared" si="3"/>
        <v>3888.9071098119884</v>
      </c>
      <c r="J35" s="49">
        <f t="shared" si="4"/>
        <v>194.44535549059944</v>
      </c>
      <c r="K35" s="47">
        <f t="shared" si="5"/>
        <v>77583.69684074917</v>
      </c>
    </row>
    <row r="36" spans="4:11" ht="12">
      <c r="D36" s="56">
        <f>SUM(D15:D35)</f>
        <v>4446079.743879235</v>
      </c>
      <c r="F36" s="50"/>
      <c r="J36" s="52" t="s">
        <v>258</v>
      </c>
      <c r="K36" s="53">
        <f>SUM(K15:K35)</f>
        <v>840073.5883797656</v>
      </c>
    </row>
  </sheetData>
  <sheetProtection/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105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PIGARS'!E13</f>
        <v>421.49536</v>
      </c>
      <c r="D15" s="47">
        <f aca="true" t="shared" si="0" ref="D15:D35">+C15*365</f>
        <v>153845.8064</v>
      </c>
      <c r="E15" s="47">
        <f>2*$C$3*$C$4*D15*EXP(-1*$C$3*A15)</f>
        <v>498460.412736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432.032744</v>
      </c>
      <c r="D16" s="47">
        <f t="shared" si="0"/>
        <v>157691.95156</v>
      </c>
      <c r="E16" s="47">
        <f aca="true" t="shared" si="7" ref="E16:E35">2*$C$3*$C$4*D16*EXP(-1*$C$3*A16)+E15</f>
        <v>999265.403877259</v>
      </c>
      <c r="F16" s="47">
        <v>95</v>
      </c>
      <c r="G16" s="47">
        <f t="shared" si="1"/>
        <v>949302.133683396</v>
      </c>
      <c r="H16" s="47">
        <f t="shared" si="2"/>
        <v>108.36782347983973</v>
      </c>
      <c r="I16" s="48">
        <f t="shared" si="3"/>
        <v>333.05316058148264</v>
      </c>
      <c r="J16" s="49">
        <f t="shared" si="4"/>
        <v>16.652658029074132</v>
      </c>
      <c r="K16" s="47">
        <f t="shared" si="5"/>
        <v>6644.410553600579</v>
      </c>
    </row>
    <row r="17" spans="1:11" ht="12">
      <c r="A17" s="42">
        <v>2</v>
      </c>
      <c r="B17" s="45">
        <v>2009</v>
      </c>
      <c r="C17" s="46">
        <f t="shared" si="6"/>
        <v>442.83356259999994</v>
      </c>
      <c r="D17" s="47">
        <f t="shared" si="0"/>
        <v>161634.25034899998</v>
      </c>
      <c r="E17" s="47">
        <f t="shared" si="7"/>
        <v>1502426.0014768739</v>
      </c>
      <c r="F17" s="47">
        <v>95</v>
      </c>
      <c r="G17" s="47">
        <f t="shared" si="1"/>
        <v>1427304.7014030302</v>
      </c>
      <c r="H17" s="47">
        <f t="shared" si="2"/>
        <v>162.93432664418154</v>
      </c>
      <c r="I17" s="48">
        <f t="shared" si="3"/>
        <v>500.75558144023904</v>
      </c>
      <c r="J17" s="49">
        <f t="shared" si="4"/>
        <v>25.037779072011954</v>
      </c>
      <c r="K17" s="47">
        <f t="shared" si="5"/>
        <v>9990.07384973277</v>
      </c>
    </row>
    <row r="18" spans="1:11" ht="12">
      <c r="A18" s="42">
        <v>3</v>
      </c>
      <c r="B18" s="45">
        <v>2010</v>
      </c>
      <c r="C18" s="46">
        <f t="shared" si="6"/>
        <v>453.9044016649999</v>
      </c>
      <c r="D18" s="47">
        <f t="shared" si="0"/>
        <v>165675.10660772497</v>
      </c>
      <c r="E18" s="47">
        <f t="shared" si="7"/>
        <v>2007953.285459935</v>
      </c>
      <c r="F18" s="47">
        <v>95</v>
      </c>
      <c r="G18" s="47">
        <f t="shared" si="1"/>
        <v>1907555.6211869384</v>
      </c>
      <c r="H18" s="47">
        <f t="shared" si="2"/>
        <v>217.75749100307516</v>
      </c>
      <c r="I18" s="48">
        <f t="shared" si="3"/>
        <v>669.2468141372254</v>
      </c>
      <c r="J18" s="49">
        <f t="shared" si="4"/>
        <v>33.462340706861276</v>
      </c>
      <c r="K18" s="47">
        <f t="shared" si="5"/>
        <v>13351.473942037648</v>
      </c>
    </row>
    <row r="19" spans="1:11" ht="12">
      <c r="A19" s="42">
        <v>4</v>
      </c>
      <c r="B19" s="45">
        <v>2011</v>
      </c>
      <c r="C19" s="46">
        <f t="shared" si="6"/>
        <v>465.25201170662484</v>
      </c>
      <c r="D19" s="47">
        <f t="shared" si="0"/>
        <v>169816.98427291805</v>
      </c>
      <c r="E19" s="47">
        <f t="shared" si="7"/>
        <v>2515858.3878675126</v>
      </c>
      <c r="F19" s="47">
        <v>95</v>
      </c>
      <c r="G19" s="47">
        <f t="shared" si="1"/>
        <v>2390065.4684741367</v>
      </c>
      <c r="H19" s="47">
        <f t="shared" si="2"/>
        <v>272.83852379841744</v>
      </c>
      <c r="I19" s="48">
        <f t="shared" si="3"/>
        <v>838.530568959466</v>
      </c>
      <c r="J19" s="49">
        <f t="shared" si="4"/>
        <v>41.926528447973304</v>
      </c>
      <c r="K19" s="47">
        <f t="shared" si="5"/>
        <v>16728.684850741345</v>
      </c>
    </row>
    <row r="20" spans="1:11" ht="12">
      <c r="A20" s="42">
        <v>5</v>
      </c>
      <c r="B20" s="45">
        <v>2012</v>
      </c>
      <c r="C20" s="46">
        <f t="shared" si="6"/>
        <v>476.8833119992904</v>
      </c>
      <c r="D20" s="47">
        <f t="shared" si="0"/>
        <v>174062.408879741</v>
      </c>
      <c r="E20" s="47">
        <f t="shared" si="7"/>
        <v>3026152.4931017933</v>
      </c>
      <c r="F20" s="47">
        <v>95</v>
      </c>
      <c r="G20" s="47">
        <f t="shared" si="1"/>
        <v>2874844.8684467035</v>
      </c>
      <c r="H20" s="47">
        <f t="shared" si="2"/>
        <v>328.17863795053694</v>
      </c>
      <c r="I20" s="48">
        <f t="shared" si="3"/>
        <v>1008.6105736458414</v>
      </c>
      <c r="J20" s="49">
        <f t="shared" si="4"/>
        <v>50.43052868229208</v>
      </c>
      <c r="K20" s="47">
        <f t="shared" si="5"/>
        <v>20121.780944234535</v>
      </c>
    </row>
    <row r="21" spans="1:11" ht="12">
      <c r="A21" s="42">
        <v>6</v>
      </c>
      <c r="B21" s="45">
        <v>2013</v>
      </c>
      <c r="C21" s="46">
        <f t="shared" si="6"/>
        <v>488.8053947992726</v>
      </c>
      <c r="D21" s="47">
        <f t="shared" si="0"/>
        <v>178413.96910173452</v>
      </c>
      <c r="E21" s="47">
        <f t="shared" si="7"/>
        <v>3538846.8381723654</v>
      </c>
      <c r="F21" s="47">
        <v>95</v>
      </c>
      <c r="G21" s="47">
        <f t="shared" si="1"/>
        <v>3361904.496263747</v>
      </c>
      <c r="H21" s="47">
        <f t="shared" si="2"/>
        <v>383.7790520849026</v>
      </c>
      <c r="I21" s="48">
        <f t="shared" si="3"/>
        <v>1179.490573469173</v>
      </c>
      <c r="J21" s="49">
        <f t="shared" si="4"/>
        <v>58.97452867345865</v>
      </c>
      <c r="K21" s="47">
        <f t="shared" si="5"/>
        <v>23530.836940709996</v>
      </c>
    </row>
    <row r="22" spans="1:11" ht="12">
      <c r="A22" s="42">
        <v>7</v>
      </c>
      <c r="B22" s="45">
        <v>2014</v>
      </c>
      <c r="C22" s="46">
        <f t="shared" si="6"/>
        <v>501.0255296692544</v>
      </c>
      <c r="D22" s="47">
        <f t="shared" si="0"/>
        <v>182874.31832927786</v>
      </c>
      <c r="E22" s="47">
        <f t="shared" si="7"/>
        <v>4053952.712943667</v>
      </c>
      <c r="F22" s="47">
        <v>95</v>
      </c>
      <c r="G22" s="47">
        <f t="shared" si="1"/>
        <v>3851255.0772964833</v>
      </c>
      <c r="H22" s="47">
        <f t="shared" si="2"/>
        <v>439.6409905589593</v>
      </c>
      <c r="I22" s="48">
        <f t="shared" si="3"/>
        <v>1351.174331318698</v>
      </c>
      <c r="J22" s="49">
        <f t="shared" si="4"/>
        <v>67.5587165659349</v>
      </c>
      <c r="K22" s="47">
        <f t="shared" si="5"/>
        <v>26955.927909808026</v>
      </c>
    </row>
    <row r="23" spans="1:11" ht="12">
      <c r="A23" s="42">
        <v>8</v>
      </c>
      <c r="B23" s="45">
        <v>2015</v>
      </c>
      <c r="C23" s="46">
        <f t="shared" si="6"/>
        <v>513.5511679109858</v>
      </c>
      <c r="D23" s="47">
        <f t="shared" si="0"/>
        <v>187446.17628750982</v>
      </c>
      <c r="E23" s="47">
        <f t="shared" si="7"/>
        <v>4571481.460383596</v>
      </c>
      <c r="F23" s="47">
        <v>95</v>
      </c>
      <c r="G23" s="47">
        <f t="shared" si="1"/>
        <v>4342907.387364416</v>
      </c>
      <c r="H23" s="47">
        <f t="shared" si="2"/>
        <v>495.76568348908864</v>
      </c>
      <c r="I23" s="48">
        <f t="shared" si="3"/>
        <v>1523.6656277829318</v>
      </c>
      <c r="J23" s="49">
        <f t="shared" si="4"/>
        <v>76.18328138914659</v>
      </c>
      <c r="K23" s="47">
        <f t="shared" si="5"/>
        <v>30397.12927426949</v>
      </c>
    </row>
    <row r="24" spans="1:11" ht="12">
      <c r="A24" s="42">
        <v>9</v>
      </c>
      <c r="B24" s="45">
        <v>2016</v>
      </c>
      <c r="C24" s="46">
        <f t="shared" si="6"/>
        <v>526.3899471087603</v>
      </c>
      <c r="D24" s="47">
        <f t="shared" si="0"/>
        <v>192132.33069469754</v>
      </c>
      <c r="E24" s="47">
        <f t="shared" si="7"/>
        <v>5091444.476813289</v>
      </c>
      <c r="F24" s="47">
        <v>95</v>
      </c>
      <c r="G24" s="47">
        <f t="shared" si="1"/>
        <v>4836872.252972625</v>
      </c>
      <c r="H24" s="47">
        <f t="shared" si="2"/>
        <v>552.154366777697</v>
      </c>
      <c r="I24" s="48">
        <f t="shared" si="3"/>
        <v>1696.9682612329157</v>
      </c>
      <c r="J24" s="49">
        <f t="shared" si="4"/>
        <v>84.84841306164579</v>
      </c>
      <c r="K24" s="47">
        <f t="shared" si="5"/>
        <v>33854.516811596666</v>
      </c>
    </row>
    <row r="25" spans="1:11" ht="12">
      <c r="A25" s="42">
        <v>10</v>
      </c>
      <c r="B25" s="45">
        <v>2017</v>
      </c>
      <c r="C25" s="46">
        <f t="shared" si="6"/>
        <v>539.5496957864793</v>
      </c>
      <c r="D25" s="47">
        <f t="shared" si="0"/>
        <v>196935.63896206496</v>
      </c>
      <c r="E25" s="47">
        <f t="shared" si="7"/>
        <v>5613853.212158077</v>
      </c>
      <c r="F25" s="47">
        <v>95</v>
      </c>
      <c r="G25" s="47">
        <f t="shared" si="1"/>
        <v>5333160.551550174</v>
      </c>
      <c r="H25" s="47">
        <f t="shared" si="2"/>
        <v>608.8082821404308</v>
      </c>
      <c r="I25" s="48">
        <f t="shared" si="3"/>
        <v>1871.0860479058629</v>
      </c>
      <c r="J25" s="49">
        <f t="shared" si="4"/>
        <v>93.55430239529315</v>
      </c>
      <c r="K25" s="47">
        <f t="shared" si="5"/>
        <v>37328.166655721965</v>
      </c>
    </row>
    <row r="26" spans="1:11" ht="12">
      <c r="A26" s="42">
        <v>11</v>
      </c>
      <c r="B26" s="45">
        <v>2018</v>
      </c>
      <c r="C26" s="46">
        <f t="shared" si="6"/>
        <v>553.0384381811413</v>
      </c>
      <c r="D26" s="47">
        <f t="shared" si="0"/>
        <v>201859.02993611657</v>
      </c>
      <c r="E26" s="47">
        <f t="shared" si="7"/>
        <v>6138719.17019962</v>
      </c>
      <c r="F26" s="47">
        <v>95</v>
      </c>
      <c r="G26" s="47">
        <f t="shared" si="1"/>
        <v>5831783.211689639</v>
      </c>
      <c r="H26" s="47">
        <f t="shared" si="2"/>
        <v>665.7286771335205</v>
      </c>
      <c r="I26" s="48">
        <f t="shared" si="3"/>
        <v>2046.0228219891926</v>
      </c>
      <c r="J26" s="49">
        <f t="shared" si="4"/>
        <v>102.30114109945964</v>
      </c>
      <c r="K26" s="47">
        <f t="shared" si="5"/>
        <v>40818.15529868439</v>
      </c>
    </row>
    <row r="27" spans="1:11" ht="12">
      <c r="A27" s="42">
        <v>12</v>
      </c>
      <c r="B27" s="45">
        <v>2019</v>
      </c>
      <c r="C27" s="46">
        <f t="shared" si="6"/>
        <v>566.8643991356697</v>
      </c>
      <c r="D27" s="47">
        <f t="shared" si="0"/>
        <v>206905.50568451945</v>
      </c>
      <c r="E27" s="47">
        <f t="shared" si="7"/>
        <v>6666053.908829223</v>
      </c>
      <c r="F27" s="47">
        <v>95</v>
      </c>
      <c r="G27" s="47">
        <f t="shared" si="1"/>
        <v>6332751.213387762</v>
      </c>
      <c r="H27" s="47">
        <f t="shared" si="2"/>
        <v>722.9168051812514</v>
      </c>
      <c r="I27" s="48">
        <f t="shared" si="3"/>
        <v>2221.7824357049626</v>
      </c>
      <c r="J27" s="49">
        <f t="shared" si="4"/>
        <v>111.08912178524814</v>
      </c>
      <c r="K27" s="47">
        <f t="shared" si="5"/>
        <v>44324.559592314006</v>
      </c>
    </row>
    <row r="28" spans="1:11" ht="12">
      <c r="A28" s="42">
        <v>13</v>
      </c>
      <c r="B28" s="45">
        <v>2020</v>
      </c>
      <c r="C28" s="46">
        <f t="shared" si="6"/>
        <v>581.0360091140614</v>
      </c>
      <c r="D28" s="47">
        <f t="shared" si="0"/>
        <v>212078.1433266324</v>
      </c>
      <c r="E28" s="47">
        <f t="shared" si="7"/>
        <v>7195869.040302358</v>
      </c>
      <c r="F28" s="47">
        <v>95</v>
      </c>
      <c r="G28" s="47">
        <f t="shared" si="1"/>
        <v>6836075.58828724</v>
      </c>
      <c r="H28" s="47">
        <f t="shared" si="2"/>
        <v>780.3739256035662</v>
      </c>
      <c r="I28" s="48">
        <f t="shared" si="3"/>
        <v>2398.3687593946947</v>
      </c>
      <c r="J28" s="49">
        <f t="shared" si="4"/>
        <v>119.91843796973474</v>
      </c>
      <c r="K28" s="47">
        <f t="shared" si="5"/>
        <v>47847.45674992415</v>
      </c>
    </row>
    <row r="29" spans="1:11" ht="12">
      <c r="A29" s="42">
        <v>14</v>
      </c>
      <c r="B29" s="45">
        <v>2021</v>
      </c>
      <c r="C29" s="46">
        <f t="shared" si="6"/>
        <v>595.5619093419128</v>
      </c>
      <c r="D29" s="47">
        <f t="shared" si="0"/>
        <v>217380.0969097982</v>
      </c>
      <c r="E29" s="47">
        <f t="shared" si="7"/>
        <v>7728176.231494363</v>
      </c>
      <c r="F29" s="47">
        <v>95</v>
      </c>
      <c r="G29" s="47">
        <f t="shared" si="1"/>
        <v>7341767.419919645</v>
      </c>
      <c r="H29" s="47">
        <f t="shared" si="2"/>
        <v>838.1013036437952</v>
      </c>
      <c r="I29" s="48">
        <f t="shared" si="3"/>
        <v>2575.7856816046083</v>
      </c>
      <c r="J29" s="49">
        <f t="shared" si="4"/>
        <v>128.78928408023043</v>
      </c>
      <c r="K29" s="47">
        <f t="shared" si="5"/>
        <v>51386.92434801193</v>
      </c>
    </row>
    <row r="30" spans="1:11" ht="12">
      <c r="A30" s="42">
        <v>15</v>
      </c>
      <c r="B30" s="45">
        <v>2022</v>
      </c>
      <c r="C30" s="46">
        <f t="shared" si="6"/>
        <v>610.4509570754606</v>
      </c>
      <c r="D30" s="47">
        <f t="shared" si="0"/>
        <v>222814.59933254312</v>
      </c>
      <c r="E30" s="47">
        <f t="shared" si="7"/>
        <v>8262987.204157364</v>
      </c>
      <c r="F30" s="47">
        <v>95</v>
      </c>
      <c r="G30" s="47">
        <f t="shared" si="1"/>
        <v>7849837.843949496</v>
      </c>
      <c r="H30" s="47">
        <f t="shared" si="2"/>
        <v>896.1002104965178</v>
      </c>
      <c r="I30" s="48">
        <f t="shared" si="3"/>
        <v>2754.037109171241</v>
      </c>
      <c r="J30" s="49">
        <f t="shared" si="4"/>
        <v>137.70185545856205</v>
      </c>
      <c r="K30" s="47">
        <f t="shared" si="5"/>
        <v>54943.04032796626</v>
      </c>
    </row>
    <row r="31" spans="1:11" ht="12">
      <c r="A31" s="42">
        <v>16</v>
      </c>
      <c r="B31" s="45">
        <v>2023</v>
      </c>
      <c r="C31" s="46">
        <f t="shared" si="6"/>
        <v>625.712231002347</v>
      </c>
      <c r="D31" s="47">
        <f t="shared" si="0"/>
        <v>228384.96431585666</v>
      </c>
      <c r="E31" s="47">
        <f t="shared" si="7"/>
        <v>8800313.735178385</v>
      </c>
      <c r="F31" s="47">
        <v>95</v>
      </c>
      <c r="G31" s="47">
        <f t="shared" si="1"/>
        <v>8360298.048419466</v>
      </c>
      <c r="H31" s="47">
        <f t="shared" si="2"/>
        <v>954.3719233355555</v>
      </c>
      <c r="I31" s="48">
        <f t="shared" si="3"/>
        <v>2933.1269673074853</v>
      </c>
      <c r="J31" s="49">
        <f t="shared" si="4"/>
        <v>146.65634836537427</v>
      </c>
      <c r="K31" s="47">
        <f t="shared" si="5"/>
        <v>58515.88299778433</v>
      </c>
    </row>
    <row r="32" spans="1:11" ht="12">
      <c r="A32" s="42">
        <v>17</v>
      </c>
      <c r="B32" s="45">
        <v>2024</v>
      </c>
      <c r="C32" s="46">
        <f t="shared" si="6"/>
        <v>641.3550367774056</v>
      </c>
      <c r="D32" s="47">
        <f t="shared" si="0"/>
        <v>234094.58842375307</v>
      </c>
      <c r="E32" s="47">
        <f t="shared" si="7"/>
        <v>9340167.656838695</v>
      </c>
      <c r="F32" s="47">
        <v>95</v>
      </c>
      <c r="G32" s="47">
        <f t="shared" si="1"/>
        <v>8873159.27399676</v>
      </c>
      <c r="H32" s="47">
        <f t="shared" si="2"/>
        <v>1012.9177253420958</v>
      </c>
      <c r="I32" s="48">
        <f t="shared" si="3"/>
        <v>3113.059199689023</v>
      </c>
      <c r="J32" s="49">
        <f t="shared" si="4"/>
        <v>155.65295998445117</v>
      </c>
      <c r="K32" s="47">
        <f t="shared" si="5"/>
        <v>62105.53103379601</v>
      </c>
    </row>
    <row r="33" spans="1:11" ht="12">
      <c r="A33" s="42">
        <v>18</v>
      </c>
      <c r="B33" s="45">
        <v>2025</v>
      </c>
      <c r="C33" s="46">
        <f t="shared" si="6"/>
        <v>657.3889126968407</v>
      </c>
      <c r="D33" s="47">
        <f t="shared" si="0"/>
        <v>239946.95313434687</v>
      </c>
      <c r="E33" s="47">
        <f t="shared" si="7"/>
        <v>9882560.857074352</v>
      </c>
      <c r="F33" s="47">
        <v>95</v>
      </c>
      <c r="G33" s="47">
        <f t="shared" si="1"/>
        <v>9388432.814220635</v>
      </c>
      <c r="H33" s="47">
        <f t="shared" si="2"/>
        <v>1071.7389057329492</v>
      </c>
      <c r="I33" s="48">
        <f t="shared" si="3"/>
        <v>3293.8377685411674</v>
      </c>
      <c r="J33" s="49">
        <f t="shared" si="4"/>
        <v>164.6918884270584</v>
      </c>
      <c r="K33" s="47">
        <f t="shared" si="5"/>
        <v>65712.06348239629</v>
      </c>
    </row>
    <row r="34" spans="1:11" ht="12">
      <c r="A34" s="42">
        <v>19</v>
      </c>
      <c r="B34" s="45">
        <v>2026</v>
      </c>
      <c r="C34" s="46">
        <f t="shared" si="6"/>
        <v>673.8236355142617</v>
      </c>
      <c r="D34" s="47">
        <f t="shared" si="0"/>
        <v>245945.62696270552</v>
      </c>
      <c r="E34" s="47">
        <f t="shared" si="7"/>
        <v>10427505.279737988</v>
      </c>
      <c r="F34" s="47">
        <v>95</v>
      </c>
      <c r="G34" s="47">
        <f t="shared" si="1"/>
        <v>9906130.015751088</v>
      </c>
      <c r="H34" s="47">
        <f t="shared" si="2"/>
        <v>1130.836759788937</v>
      </c>
      <c r="I34" s="48">
        <f t="shared" si="3"/>
        <v>3475.4666547261113</v>
      </c>
      <c r="J34" s="49">
        <f t="shared" si="4"/>
        <v>173.77333273630558</v>
      </c>
      <c r="K34" s="47">
        <f t="shared" si="5"/>
        <v>69335.55976178592</v>
      </c>
    </row>
    <row r="35" spans="1:11" ht="12">
      <c r="A35" s="42">
        <v>20</v>
      </c>
      <c r="B35" s="45">
        <v>2027</v>
      </c>
      <c r="C35" s="46">
        <f t="shared" si="6"/>
        <v>690.6692264021182</v>
      </c>
      <c r="D35" s="47">
        <f t="shared" si="0"/>
        <v>252094.26763677312</v>
      </c>
      <c r="E35" s="47">
        <f t="shared" si="7"/>
        <v>10975012.92486182</v>
      </c>
      <c r="F35" s="47">
        <v>95</v>
      </c>
      <c r="G35" s="47">
        <f t="shared" si="1"/>
        <v>10426262.278618729</v>
      </c>
      <c r="H35" s="47">
        <f t="shared" si="2"/>
        <v>1190.2125888834166</v>
      </c>
      <c r="I35" s="48">
        <f t="shared" si="3"/>
        <v>3657.9498578305943</v>
      </c>
      <c r="J35" s="49">
        <f t="shared" si="4"/>
        <v>182.89749289152974</v>
      </c>
      <c r="K35" s="47">
        <f t="shared" si="5"/>
        <v>72976.09966372035</v>
      </c>
    </row>
    <row r="36" spans="4:11" ht="12">
      <c r="D36" s="56">
        <f>SUM(D15:D35)</f>
        <v>4182032.7171077137</v>
      </c>
      <c r="F36" s="50"/>
      <c r="J36" s="52" t="s">
        <v>258</v>
      </c>
      <c r="K36" s="53">
        <f>SUM(K15:K35)</f>
        <v>786868.2749888367</v>
      </c>
    </row>
  </sheetData>
  <sheetProtection/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9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142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PIGARS'!E14</f>
        <v>233.1446</v>
      </c>
      <c r="D15" s="47">
        <f aca="true" t="shared" si="0" ref="D15:D35">+C15*365</f>
        <v>85097.779</v>
      </c>
      <c r="E15" s="47">
        <f>2*$C$3*$C$4*D15*EXP(-1*$C$3*A15)</f>
        <v>275716.80396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238.97321499999998</v>
      </c>
      <c r="D16" s="47">
        <f t="shared" si="0"/>
        <v>87225.22347499999</v>
      </c>
      <c r="E16" s="47">
        <f aca="true" t="shared" si="7" ref="E16:E35">2*$C$3*$C$4*D16*EXP(-1*$C$3*A16)+E15</f>
        <v>552730.48054622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244.94754537499995</v>
      </c>
      <c r="D17" s="47">
        <f t="shared" si="0"/>
        <v>89405.85406187498</v>
      </c>
      <c r="E17" s="47">
        <f t="shared" si="7"/>
        <v>831047.1297808003</v>
      </c>
      <c r="F17" s="47">
        <v>95</v>
      </c>
      <c r="G17" s="47">
        <f t="shared" si="1"/>
        <v>789494.7732917602</v>
      </c>
      <c r="H17" s="47">
        <f t="shared" si="2"/>
        <v>90.12497412006395</v>
      </c>
      <c r="I17" s="48">
        <f t="shared" si="3"/>
        <v>276.9863462616811</v>
      </c>
      <c r="J17" s="49">
        <f t="shared" si="4"/>
        <v>13.849317313084056</v>
      </c>
      <c r="K17" s="47">
        <f t="shared" si="5"/>
        <v>5525.877607920538</v>
      </c>
    </row>
    <row r="18" spans="1:11" ht="12">
      <c r="A18" s="42">
        <v>3</v>
      </c>
      <c r="B18" s="45">
        <v>2010</v>
      </c>
      <c r="C18" s="46">
        <f t="shared" si="6"/>
        <v>251.07123400937493</v>
      </c>
      <c r="D18" s="47">
        <f t="shared" si="0"/>
        <v>91641.00041342185</v>
      </c>
      <c r="E18" s="47">
        <f t="shared" si="7"/>
        <v>1110672.8803781904</v>
      </c>
      <c r="F18" s="47">
        <v>95</v>
      </c>
      <c r="G18" s="47">
        <f t="shared" si="1"/>
        <v>1055139.236359281</v>
      </c>
      <c r="H18" s="47">
        <f t="shared" si="2"/>
        <v>120.44968451589966</v>
      </c>
      <c r="I18" s="48">
        <f t="shared" si="3"/>
        <v>370.1850496842901</v>
      </c>
      <c r="J18" s="49">
        <f t="shared" si="4"/>
        <v>18.509252484214507</v>
      </c>
      <c r="K18" s="47">
        <f t="shared" si="5"/>
        <v>7385.191741201587</v>
      </c>
    </row>
    <row r="19" spans="1:11" ht="12">
      <c r="A19" s="42">
        <v>4</v>
      </c>
      <c r="B19" s="45">
        <v>2011</v>
      </c>
      <c r="C19" s="46">
        <f t="shared" si="6"/>
        <v>257.3480148596093</v>
      </c>
      <c r="D19" s="47">
        <f t="shared" si="0"/>
        <v>93932.0254237574</v>
      </c>
      <c r="E19" s="47">
        <f t="shared" si="7"/>
        <v>1391613.8898801073</v>
      </c>
      <c r="F19" s="47">
        <v>95</v>
      </c>
      <c r="G19" s="47">
        <f t="shared" si="1"/>
        <v>1322033.195386102</v>
      </c>
      <c r="H19" s="47">
        <f t="shared" si="2"/>
        <v>150.91703143676963</v>
      </c>
      <c r="I19" s="48">
        <f t="shared" si="3"/>
        <v>463.82212626925997</v>
      </c>
      <c r="J19" s="49">
        <f t="shared" si="4"/>
        <v>23.191106313463</v>
      </c>
      <c r="K19" s="47">
        <f t="shared" si="5"/>
        <v>9253.251419071736</v>
      </c>
    </row>
    <row r="20" spans="1:11" ht="12">
      <c r="A20" s="42">
        <v>5</v>
      </c>
      <c r="B20" s="45">
        <v>2012</v>
      </c>
      <c r="C20" s="46">
        <f t="shared" si="6"/>
        <v>263.7817152310995</v>
      </c>
      <c r="D20" s="47">
        <f t="shared" si="0"/>
        <v>96280.32605935131</v>
      </c>
      <c r="E20" s="47">
        <f t="shared" si="7"/>
        <v>1673876.3447911274</v>
      </c>
      <c r="F20" s="47">
        <v>95</v>
      </c>
      <c r="G20" s="47">
        <f t="shared" si="1"/>
        <v>1590182.5275515711</v>
      </c>
      <c r="H20" s="47">
        <f t="shared" si="2"/>
        <v>181.52768579355836</v>
      </c>
      <c r="I20" s="48">
        <f t="shared" si="3"/>
        <v>557.8996379661932</v>
      </c>
      <c r="J20" s="49">
        <f t="shared" si="4"/>
        <v>27.89498189830966</v>
      </c>
      <c r="K20" s="47">
        <f t="shared" si="5"/>
        <v>11130.097777425553</v>
      </c>
    </row>
    <row r="21" spans="1:11" ht="12">
      <c r="A21" s="42">
        <v>6</v>
      </c>
      <c r="B21" s="45">
        <v>2013</v>
      </c>
      <c r="C21" s="46">
        <f t="shared" si="6"/>
        <v>270.37625811187695</v>
      </c>
      <c r="D21" s="47">
        <f t="shared" si="0"/>
        <v>98687.33421083509</v>
      </c>
      <c r="E21" s="47">
        <f t="shared" si="7"/>
        <v>1957466.4607149195</v>
      </c>
      <c r="F21" s="47">
        <v>95</v>
      </c>
      <c r="G21" s="47">
        <f t="shared" si="1"/>
        <v>1859593.1376791736</v>
      </c>
      <c r="H21" s="47">
        <f t="shared" si="2"/>
        <v>212.2823216528737</v>
      </c>
      <c r="I21" s="48">
        <f t="shared" si="3"/>
        <v>652.4196564233613</v>
      </c>
      <c r="J21" s="49">
        <f t="shared" si="4"/>
        <v>32.62098282116806</v>
      </c>
      <c r="K21" s="47">
        <f t="shared" si="5"/>
        <v>13015.772145646059</v>
      </c>
    </row>
    <row r="22" spans="1:11" ht="12">
      <c r="A22" s="42">
        <v>7</v>
      </c>
      <c r="B22" s="45">
        <v>2014</v>
      </c>
      <c r="C22" s="46">
        <f t="shared" si="6"/>
        <v>277.13566456467385</v>
      </c>
      <c r="D22" s="47">
        <f t="shared" si="0"/>
        <v>101154.51756610595</v>
      </c>
      <c r="E22" s="47">
        <f t="shared" si="7"/>
        <v>2242390.4824911146</v>
      </c>
      <c r="F22" s="47">
        <v>95</v>
      </c>
      <c r="G22" s="47">
        <f t="shared" si="1"/>
        <v>2130270.958366559</v>
      </c>
      <c r="H22" s="47">
        <f t="shared" si="2"/>
        <v>243.1816162518903</v>
      </c>
      <c r="I22" s="48">
        <f t="shared" si="3"/>
        <v>747.3842630333235</v>
      </c>
      <c r="J22" s="49">
        <f t="shared" si="4"/>
        <v>37.36921315166617</v>
      </c>
      <c r="K22" s="47">
        <f t="shared" si="5"/>
        <v>14910.316047514803</v>
      </c>
    </row>
    <row r="23" spans="1:11" ht="12">
      <c r="A23" s="42">
        <v>8</v>
      </c>
      <c r="B23" s="45">
        <v>2015</v>
      </c>
      <c r="C23" s="46">
        <f t="shared" si="6"/>
        <v>284.0640561787907</v>
      </c>
      <c r="D23" s="47">
        <f t="shared" si="0"/>
        <v>103683.3805052586</v>
      </c>
      <c r="E23" s="47">
        <f t="shared" si="7"/>
        <v>2528654.6843328224</v>
      </c>
      <c r="F23" s="47">
        <v>95</v>
      </c>
      <c r="G23" s="47">
        <f t="shared" si="1"/>
        <v>2402221.9501161813</v>
      </c>
      <c r="H23" s="47">
        <f t="shared" si="2"/>
        <v>274.2262500132627</v>
      </c>
      <c r="I23" s="48">
        <f t="shared" si="3"/>
        <v>842.795548978761</v>
      </c>
      <c r="J23" s="49">
        <f t="shared" si="4"/>
        <v>42.13977744893805</v>
      </c>
      <c r="K23" s="47">
        <f t="shared" si="5"/>
        <v>16813.77120212628</v>
      </c>
    </row>
    <row r="24" spans="1:11" ht="12">
      <c r="A24" s="42">
        <v>9</v>
      </c>
      <c r="B24" s="45">
        <v>2016</v>
      </c>
      <c r="C24" s="46">
        <f t="shared" si="6"/>
        <v>291.16565758326044</v>
      </c>
      <c r="D24" s="47">
        <f t="shared" si="0"/>
        <v>106275.46501789006</v>
      </c>
      <c r="E24" s="47">
        <f t="shared" si="7"/>
        <v>2816265.3699647933</v>
      </c>
      <c r="F24" s="47">
        <v>95</v>
      </c>
      <c r="G24" s="47">
        <f t="shared" si="1"/>
        <v>2675452.1014665538</v>
      </c>
      <c r="H24" s="47">
        <f t="shared" si="2"/>
        <v>305.4169065601089</v>
      </c>
      <c r="I24" s="48">
        <f t="shared" si="3"/>
        <v>938.6556152785256</v>
      </c>
      <c r="J24" s="49">
        <f t="shared" si="4"/>
        <v>46.93278076392628</v>
      </c>
      <c r="K24" s="47">
        <f t="shared" si="5"/>
        <v>18726.179524806586</v>
      </c>
    </row>
    <row r="25" spans="1:11" ht="12">
      <c r="A25" s="42">
        <v>10</v>
      </c>
      <c r="B25" s="45">
        <v>2017</v>
      </c>
      <c r="C25" s="46">
        <f t="shared" si="6"/>
        <v>298.44479902284195</v>
      </c>
      <c r="D25" s="47">
        <f t="shared" si="0"/>
        <v>108932.35164333732</v>
      </c>
      <c r="E25" s="47">
        <f t="shared" si="7"/>
        <v>3105228.8727622298</v>
      </c>
      <c r="F25" s="47">
        <v>95</v>
      </c>
      <c r="G25" s="47">
        <f t="shared" si="1"/>
        <v>2949967.4291241183</v>
      </c>
      <c r="H25" s="47">
        <f t="shared" si="2"/>
        <v>336.75427273106374</v>
      </c>
      <c r="I25" s="48">
        <f t="shared" si="3"/>
        <v>1034.9665728339055</v>
      </c>
      <c r="J25" s="49">
        <f t="shared" si="4"/>
        <v>51.74832864169528</v>
      </c>
      <c r="K25" s="47">
        <f t="shared" si="5"/>
        <v>20647.583128036415</v>
      </c>
    </row>
    <row r="26" spans="1:11" ht="12">
      <c r="A26" s="42">
        <v>11</v>
      </c>
      <c r="B26" s="45">
        <v>2018</v>
      </c>
      <c r="C26" s="46">
        <f t="shared" si="6"/>
        <v>305.905918998413</v>
      </c>
      <c r="D26" s="47">
        <f t="shared" si="0"/>
        <v>111655.66043442073</v>
      </c>
      <c r="E26" s="47">
        <f t="shared" si="7"/>
        <v>3395551.555890253</v>
      </c>
      <c r="F26" s="47">
        <v>95</v>
      </c>
      <c r="G26" s="47">
        <f t="shared" si="1"/>
        <v>3225773.97809574</v>
      </c>
      <c r="H26" s="47">
        <f t="shared" si="2"/>
        <v>368.2390385954041</v>
      </c>
      <c r="I26" s="48">
        <f t="shared" si="3"/>
        <v>1131.7305424751094</v>
      </c>
      <c r="J26" s="49">
        <f t="shared" si="4"/>
        <v>56.586527123755474</v>
      </c>
      <c r="K26" s="47">
        <f t="shared" si="5"/>
        <v>22578.02432237843</v>
      </c>
    </row>
    <row r="27" spans="1:11" ht="12">
      <c r="A27" s="42">
        <v>12</v>
      </c>
      <c r="B27" s="45">
        <v>2019</v>
      </c>
      <c r="C27" s="46">
        <f t="shared" si="6"/>
        <v>313.5535669733733</v>
      </c>
      <c r="D27" s="47">
        <f t="shared" si="0"/>
        <v>114447.05194528124</v>
      </c>
      <c r="E27" s="47">
        <f t="shared" si="7"/>
        <v>3687239.8124440224</v>
      </c>
      <c r="F27" s="47">
        <v>95</v>
      </c>
      <c r="G27" s="47">
        <f t="shared" si="1"/>
        <v>3502877.8218218214</v>
      </c>
      <c r="H27" s="47">
        <f t="shared" si="2"/>
        <v>399.87189746824447</v>
      </c>
      <c r="I27" s="48">
        <f t="shared" si="3"/>
        <v>1228.9496550079677</v>
      </c>
      <c r="J27" s="49">
        <f t="shared" si="4"/>
        <v>61.44748275039839</v>
      </c>
      <c r="K27" s="47">
        <f t="shared" si="5"/>
        <v>24517.545617408956</v>
      </c>
    </row>
    <row r="28" spans="1:11" ht="12">
      <c r="A28" s="42">
        <v>13</v>
      </c>
      <c r="B28" s="45">
        <v>2020</v>
      </c>
      <c r="C28" s="46">
        <f t="shared" si="6"/>
        <v>321.39240614770756</v>
      </c>
      <c r="D28" s="47">
        <f t="shared" si="0"/>
        <v>117308.22824391325</v>
      </c>
      <c r="E28" s="47">
        <f t="shared" si="7"/>
        <v>3980300.065589517</v>
      </c>
      <c r="F28" s="47">
        <v>95</v>
      </c>
      <c r="G28" s="47">
        <f t="shared" si="1"/>
        <v>3781285.0623100414</v>
      </c>
      <c r="H28" s="47">
        <f t="shared" si="2"/>
        <v>431.6535459258038</v>
      </c>
      <c r="I28" s="48">
        <f t="shared" si="3"/>
        <v>1326.6260512608546</v>
      </c>
      <c r="J28" s="49">
        <f t="shared" si="4"/>
        <v>66.33130256304274</v>
      </c>
      <c r="K28" s="47">
        <f t="shared" si="5"/>
        <v>26466.18972265405</v>
      </c>
    </row>
    <row r="29" spans="1:11" ht="12">
      <c r="A29" s="42">
        <v>14</v>
      </c>
      <c r="B29" s="45">
        <v>2021</v>
      </c>
      <c r="C29" s="46">
        <f t="shared" si="6"/>
        <v>329.4272163014002</v>
      </c>
      <c r="D29" s="47">
        <f t="shared" si="0"/>
        <v>120240.93395001108</v>
      </c>
      <c r="E29" s="47">
        <f t="shared" si="7"/>
        <v>4274738.768704976</v>
      </c>
      <c r="F29" s="47">
        <v>95</v>
      </c>
      <c r="G29" s="47">
        <f t="shared" si="1"/>
        <v>4061001.830269727</v>
      </c>
      <c r="H29" s="47">
        <f t="shared" si="2"/>
        <v>463.58468382074506</v>
      </c>
      <c r="I29" s="48">
        <f t="shared" si="3"/>
        <v>1424.7618821318308</v>
      </c>
      <c r="J29" s="49">
        <f t="shared" si="4"/>
        <v>71.23809410659155</v>
      </c>
      <c r="K29" s="47">
        <f t="shared" si="5"/>
        <v>28423.999548530028</v>
      </c>
    </row>
    <row r="30" spans="1:11" ht="12">
      <c r="A30" s="42">
        <v>15</v>
      </c>
      <c r="B30" s="45">
        <v>2022</v>
      </c>
      <c r="C30" s="46">
        <f t="shared" si="6"/>
        <v>337.6628967089352</v>
      </c>
      <c r="D30" s="47">
        <f t="shared" si="0"/>
        <v>123246.95729876135</v>
      </c>
      <c r="E30" s="47">
        <f t="shared" si="7"/>
        <v>4570562.405523009</v>
      </c>
      <c r="F30" s="47">
        <v>95</v>
      </c>
      <c r="G30" s="47">
        <f t="shared" si="1"/>
        <v>4342034.285246858</v>
      </c>
      <c r="H30" s="47">
        <f t="shared" si="2"/>
        <v>495.66601429758657</v>
      </c>
      <c r="I30" s="48">
        <f t="shared" si="3"/>
        <v>1523.3593086360077</v>
      </c>
      <c r="J30" s="49">
        <f t="shared" si="4"/>
        <v>76.16796543180038</v>
      </c>
      <c r="K30" s="47">
        <f t="shared" si="5"/>
        <v>30391.01820728835</v>
      </c>
    </row>
    <row r="31" spans="1:11" ht="12">
      <c r="A31" s="42">
        <v>16</v>
      </c>
      <c r="B31" s="45">
        <v>2023</v>
      </c>
      <c r="C31" s="46">
        <f t="shared" si="6"/>
        <v>346.10446912665856</v>
      </c>
      <c r="D31" s="47">
        <f t="shared" si="0"/>
        <v>126328.13123123038</v>
      </c>
      <c r="E31" s="47">
        <f t="shared" si="7"/>
        <v>4867777.4902733695</v>
      </c>
      <c r="F31" s="47">
        <v>95</v>
      </c>
      <c r="G31" s="47">
        <f t="shared" si="1"/>
        <v>4624388.6157597015</v>
      </c>
      <c r="H31" s="47">
        <f t="shared" si="2"/>
        <v>527.898243808185</v>
      </c>
      <c r="I31" s="48">
        <f t="shared" si="3"/>
        <v>1622.4205019531335</v>
      </c>
      <c r="J31" s="49">
        <f t="shared" si="4"/>
        <v>81.12102509765668</v>
      </c>
      <c r="K31" s="47">
        <f t="shared" si="5"/>
        <v>32367.28901396501</v>
      </c>
    </row>
    <row r="32" spans="1:11" ht="12">
      <c r="A32" s="42">
        <v>17</v>
      </c>
      <c r="B32" s="45">
        <v>2024</v>
      </c>
      <c r="C32" s="46">
        <f t="shared" si="6"/>
        <v>354.757080854825</v>
      </c>
      <c r="D32" s="47">
        <f t="shared" si="0"/>
        <v>129486.33451201113</v>
      </c>
      <c r="E32" s="47">
        <f t="shared" si="7"/>
        <v>5166390.567826404</v>
      </c>
      <c r="F32" s="47">
        <v>95</v>
      </c>
      <c r="G32" s="47">
        <f t="shared" si="1"/>
        <v>4908071.039435084</v>
      </c>
      <c r="H32" s="47">
        <f t="shared" si="2"/>
        <v>560.2820821272927</v>
      </c>
      <c r="I32" s="48">
        <f t="shared" si="3"/>
        <v>1721.9476434754047</v>
      </c>
      <c r="J32" s="49">
        <f t="shared" si="4"/>
        <v>86.09738217377024</v>
      </c>
      <c r="K32" s="47">
        <f t="shared" si="5"/>
        <v>34352.855487334324</v>
      </c>
    </row>
    <row r="33" spans="1:11" ht="12">
      <c r="A33" s="42">
        <v>18</v>
      </c>
      <c r="B33" s="45">
        <v>2025</v>
      </c>
      <c r="C33" s="46">
        <f t="shared" si="6"/>
        <v>363.6260078761956</v>
      </c>
      <c r="D33" s="47">
        <f t="shared" si="0"/>
        <v>132723.4928748114</v>
      </c>
      <c r="E33" s="47">
        <f t="shared" si="7"/>
        <v>5466408.213837175</v>
      </c>
      <c r="F33" s="47">
        <v>95</v>
      </c>
      <c r="G33" s="47">
        <f t="shared" si="1"/>
        <v>5193087.803145316</v>
      </c>
      <c r="H33" s="47">
        <f t="shared" si="2"/>
        <v>592.8182423681868</v>
      </c>
      <c r="I33" s="48">
        <f t="shared" si="3"/>
        <v>1821.9429248555027</v>
      </c>
      <c r="J33" s="49">
        <f t="shared" si="4"/>
        <v>91.09714624277514</v>
      </c>
      <c r="K33" s="47">
        <f t="shared" si="5"/>
        <v>36347.76135086728</v>
      </c>
    </row>
    <row r="34" spans="1:11" ht="12">
      <c r="A34" s="42">
        <v>19</v>
      </c>
      <c r="B34" s="45">
        <v>2026</v>
      </c>
      <c r="C34" s="46">
        <f t="shared" si="6"/>
        <v>372.71665807310046</v>
      </c>
      <c r="D34" s="47">
        <f t="shared" si="0"/>
        <v>136041.58019668167</v>
      </c>
      <c r="E34" s="47">
        <f t="shared" si="7"/>
        <v>5767837.034890257</v>
      </c>
      <c r="F34" s="47">
        <v>95</v>
      </c>
      <c r="G34" s="47">
        <f t="shared" si="1"/>
        <v>5479445.183145744</v>
      </c>
      <c r="H34" s="47">
        <f t="shared" si="2"/>
        <v>625.5074409983725</v>
      </c>
      <c r="I34" s="48">
        <f t="shared" si="3"/>
        <v>1922.4085480548524</v>
      </c>
      <c r="J34" s="49">
        <f t="shared" si="4"/>
        <v>96.12042740274262</v>
      </c>
      <c r="K34" s="47">
        <f t="shared" si="5"/>
        <v>38352.0505336943</v>
      </c>
    </row>
    <row r="35" spans="1:11" ht="12">
      <c r="A35" s="42">
        <v>20</v>
      </c>
      <c r="B35" s="45">
        <v>2027</v>
      </c>
      <c r="C35" s="46">
        <f t="shared" si="6"/>
        <v>382.03457452492796</v>
      </c>
      <c r="D35" s="47">
        <f t="shared" si="0"/>
        <v>139442.6197015987</v>
      </c>
      <c r="E35" s="47">
        <f t="shared" si="7"/>
        <v>6070683.668645224</v>
      </c>
      <c r="F35" s="47">
        <v>95</v>
      </c>
      <c r="G35" s="47">
        <f t="shared" si="1"/>
        <v>5767149.485212963</v>
      </c>
      <c r="H35" s="47">
        <f t="shared" si="2"/>
        <v>658.350397855361</v>
      </c>
      <c r="I35" s="48">
        <f t="shared" si="3"/>
        <v>2023.3467253921158</v>
      </c>
      <c r="J35" s="49">
        <f t="shared" si="4"/>
        <v>101.1673362696058</v>
      </c>
      <c r="K35" s="47">
        <f t="shared" si="5"/>
        <v>40365.76717157271</v>
      </c>
    </row>
    <row r="36" spans="4:11" ht="12">
      <c r="D36" s="56">
        <f>SUM(D15:D35)</f>
        <v>2313236.2477655536</v>
      </c>
      <c r="F36" s="50"/>
      <c r="J36" s="52" t="s">
        <v>258</v>
      </c>
      <c r="K36" s="53">
        <f>SUM(K15:K35)</f>
        <v>431570.541569443</v>
      </c>
    </row>
  </sheetData>
  <sheetProtection/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9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304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PIGARS'!E15</f>
        <v>184.99572</v>
      </c>
      <c r="D15" s="47">
        <f aca="true" t="shared" si="0" ref="D15:D35">+C15*365</f>
        <v>67523.4378</v>
      </c>
      <c r="E15" s="47">
        <f>2*$C$3*$C$4*D15*EXP(-1*$C$3*A15)</f>
        <v>218775.938472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189.620613</v>
      </c>
      <c r="D16" s="47">
        <f t="shared" si="0"/>
        <v>69211.523745</v>
      </c>
      <c r="E16" s="47">
        <f aca="true" t="shared" si="7" ref="E16:E35">2*$C$3*$C$4*D16*EXP(-1*$C$3*A16)+E15</f>
        <v>438580.9202297371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194.36112832499998</v>
      </c>
      <c r="D17" s="47">
        <f t="shared" si="0"/>
        <v>70941.811838625</v>
      </c>
      <c r="E17" s="47">
        <f t="shared" si="7"/>
        <v>659419.7855225153</v>
      </c>
      <c r="F17" s="47">
        <v>95</v>
      </c>
      <c r="G17" s="47">
        <f t="shared" si="1"/>
        <v>626448.7962463895</v>
      </c>
      <c r="H17" s="47">
        <f t="shared" si="2"/>
        <v>71.51241966282986</v>
      </c>
      <c r="I17" s="48">
        <f t="shared" si="3"/>
        <v>219.78329567508325</v>
      </c>
      <c r="J17" s="49">
        <f t="shared" si="4"/>
        <v>10.989164783754163</v>
      </c>
      <c r="K17" s="47">
        <f t="shared" si="5"/>
        <v>4384.67674871791</v>
      </c>
    </row>
    <row r="18" spans="1:11" ht="12">
      <c r="A18" s="42">
        <v>3</v>
      </c>
      <c r="B18" s="45">
        <v>2010</v>
      </c>
      <c r="C18" s="46">
        <f t="shared" si="6"/>
        <v>199.22015653312496</v>
      </c>
      <c r="D18" s="47">
        <f t="shared" si="0"/>
        <v>72715.35713459061</v>
      </c>
      <c r="E18" s="47">
        <f t="shared" si="7"/>
        <v>881297.3973664294</v>
      </c>
      <c r="F18" s="47">
        <v>95</v>
      </c>
      <c r="G18" s="47">
        <f t="shared" si="1"/>
        <v>837232.527498108</v>
      </c>
      <c r="H18" s="47">
        <f t="shared" si="2"/>
        <v>95.57448944042329</v>
      </c>
      <c r="I18" s="48">
        <f t="shared" si="3"/>
        <v>293.73465994743617</v>
      </c>
      <c r="J18" s="49">
        <f t="shared" si="4"/>
        <v>14.68673299737181</v>
      </c>
      <c r="K18" s="47">
        <f t="shared" si="5"/>
        <v>5860.006465951352</v>
      </c>
    </row>
    <row r="19" spans="1:11" ht="12">
      <c r="A19" s="42">
        <v>4</v>
      </c>
      <c r="B19" s="45">
        <v>2011</v>
      </c>
      <c r="C19" s="46">
        <f t="shared" si="6"/>
        <v>204.20066044645307</v>
      </c>
      <c r="D19" s="47">
        <f t="shared" si="0"/>
        <v>74533.24106295538</v>
      </c>
      <c r="E19" s="47">
        <f t="shared" si="7"/>
        <v>1104218.6416514523</v>
      </c>
      <c r="F19" s="47">
        <v>95</v>
      </c>
      <c r="G19" s="47">
        <f t="shared" si="1"/>
        <v>1049007.7095688796</v>
      </c>
      <c r="H19" s="47">
        <f t="shared" si="2"/>
        <v>119.74973853526022</v>
      </c>
      <c r="I19" s="48">
        <f t="shared" si="3"/>
        <v>368.03386482514566</v>
      </c>
      <c r="J19" s="49">
        <f t="shared" si="4"/>
        <v>18.401693241257284</v>
      </c>
      <c r="K19" s="47">
        <f t="shared" si="5"/>
        <v>7342.275603261655</v>
      </c>
    </row>
    <row r="20" spans="1:11" ht="12">
      <c r="A20" s="42">
        <v>5</v>
      </c>
      <c r="B20" s="45">
        <v>2012</v>
      </c>
      <c r="C20" s="46">
        <f t="shared" si="6"/>
        <v>209.30567695761437</v>
      </c>
      <c r="D20" s="47">
        <f t="shared" si="0"/>
        <v>76396.57208952925</v>
      </c>
      <c r="E20" s="47">
        <f t="shared" si="7"/>
        <v>1328188.4272490244</v>
      </c>
      <c r="F20" s="47">
        <v>95</v>
      </c>
      <c r="G20" s="47">
        <f t="shared" si="1"/>
        <v>1261779.005886573</v>
      </c>
      <c r="H20" s="47">
        <f t="shared" si="2"/>
        <v>144.03869930212022</v>
      </c>
      <c r="I20" s="48">
        <f t="shared" si="3"/>
        <v>442.6825464252453</v>
      </c>
      <c r="J20" s="49">
        <f t="shared" si="4"/>
        <v>22.134127321262266</v>
      </c>
      <c r="K20" s="47">
        <f t="shared" si="5"/>
        <v>8831.516801183643</v>
      </c>
    </row>
    <row r="21" spans="1:11" ht="12">
      <c r="A21" s="42">
        <v>6</v>
      </c>
      <c r="B21" s="45">
        <v>2013</v>
      </c>
      <c r="C21" s="46">
        <f t="shared" si="6"/>
        <v>214.53831888155472</v>
      </c>
      <c r="D21" s="47">
        <f t="shared" si="0"/>
        <v>78306.48639176747</v>
      </c>
      <c r="E21" s="47">
        <f t="shared" si="7"/>
        <v>1553211.6861201515</v>
      </c>
      <c r="F21" s="47">
        <v>95</v>
      </c>
      <c r="G21" s="47">
        <f t="shared" si="1"/>
        <v>1475551.101814144</v>
      </c>
      <c r="H21" s="47">
        <f t="shared" si="2"/>
        <v>168.44190659978813</v>
      </c>
      <c r="I21" s="48">
        <f t="shared" si="3"/>
        <v>517.6823485604742</v>
      </c>
      <c r="J21" s="49">
        <f t="shared" si="4"/>
        <v>25.884117428023714</v>
      </c>
      <c r="K21" s="47">
        <f t="shared" si="5"/>
        <v>10327.76285378146</v>
      </c>
    </row>
    <row r="22" spans="1:11" ht="12">
      <c r="A22" s="42">
        <v>7</v>
      </c>
      <c r="B22" s="45">
        <v>2014</v>
      </c>
      <c r="C22" s="46">
        <f t="shared" si="6"/>
        <v>219.90177685359356</v>
      </c>
      <c r="D22" s="47">
        <f t="shared" si="0"/>
        <v>80264.14855156165</v>
      </c>
      <c r="E22" s="47">
        <f t="shared" si="7"/>
        <v>1779293.373424009</v>
      </c>
      <c r="F22" s="47">
        <v>95</v>
      </c>
      <c r="G22" s="47">
        <f t="shared" si="1"/>
        <v>1690328.7047528084</v>
      </c>
      <c r="H22" s="47">
        <f t="shared" si="2"/>
        <v>192.95989780283202</v>
      </c>
      <c r="I22" s="48">
        <f t="shared" si="3"/>
        <v>593.0349227754753</v>
      </c>
      <c r="J22" s="49">
        <f t="shared" si="4"/>
        <v>29.651746138773763</v>
      </c>
      <c r="K22" s="47">
        <f t="shared" si="5"/>
        <v>11831.04670937073</v>
      </c>
    </row>
    <row r="23" spans="1:11" ht="12">
      <c r="A23" s="42">
        <v>8</v>
      </c>
      <c r="B23" s="45">
        <v>2015</v>
      </c>
      <c r="C23" s="46">
        <f t="shared" si="6"/>
        <v>225.39932127493338</v>
      </c>
      <c r="D23" s="47">
        <f t="shared" si="0"/>
        <v>82270.75226535069</v>
      </c>
      <c r="E23" s="47">
        <f t="shared" si="7"/>
        <v>2006438.4676270576</v>
      </c>
      <c r="F23" s="47">
        <v>95</v>
      </c>
      <c r="G23" s="47">
        <f t="shared" si="1"/>
        <v>1906116.5442457048</v>
      </c>
      <c r="H23" s="47">
        <f t="shared" si="2"/>
        <v>217.59321281343662</v>
      </c>
      <c r="I23" s="48">
        <f t="shared" si="3"/>
        <v>668.741928383163</v>
      </c>
      <c r="J23" s="49">
        <f t="shared" si="4"/>
        <v>33.43709641915815</v>
      </c>
      <c r="K23" s="47">
        <f t="shared" si="5"/>
        <v>13341.401471244102</v>
      </c>
    </row>
    <row r="24" spans="1:11" ht="12">
      <c r="A24" s="42">
        <v>9</v>
      </c>
      <c r="B24" s="45">
        <v>2016</v>
      </c>
      <c r="C24" s="46">
        <f t="shared" si="6"/>
        <v>231.0343043068067</v>
      </c>
      <c r="D24" s="47">
        <f t="shared" si="0"/>
        <v>84327.52107198445</v>
      </c>
      <c r="E24" s="47">
        <f t="shared" si="7"/>
        <v>2234651.9706126726</v>
      </c>
      <c r="F24" s="47">
        <v>95</v>
      </c>
      <c r="G24" s="47">
        <f t="shared" si="1"/>
        <v>2122919.3720820392</v>
      </c>
      <c r="H24" s="47">
        <f t="shared" si="2"/>
        <v>242.34239407329216</v>
      </c>
      <c r="I24" s="48">
        <f t="shared" si="3"/>
        <v>744.8050325012626</v>
      </c>
      <c r="J24" s="49">
        <f t="shared" si="4"/>
        <v>37.24025162506313</v>
      </c>
      <c r="K24" s="47">
        <f t="shared" si="5"/>
        <v>14858.86039840019</v>
      </c>
    </row>
    <row r="25" spans="1:11" ht="12">
      <c r="A25" s="42">
        <v>10</v>
      </c>
      <c r="B25" s="45">
        <v>2017</v>
      </c>
      <c r="C25" s="46">
        <f t="shared" si="6"/>
        <v>236.81016191447682</v>
      </c>
      <c r="D25" s="47">
        <f t="shared" si="0"/>
        <v>86435.70909878403</v>
      </c>
      <c r="E25" s="47">
        <f t="shared" si="7"/>
        <v>2463938.9077912895</v>
      </c>
      <c r="F25" s="47">
        <v>95</v>
      </c>
      <c r="G25" s="47">
        <f t="shared" si="1"/>
        <v>2340741.962401725</v>
      </c>
      <c r="H25" s="47">
        <f t="shared" si="2"/>
        <v>267.2079865755394</v>
      </c>
      <c r="I25" s="48">
        <f t="shared" si="3"/>
        <v>821.2259100890211</v>
      </c>
      <c r="J25" s="49">
        <f t="shared" si="4"/>
        <v>41.06129550445106</v>
      </c>
      <c r="K25" s="47">
        <f t="shared" si="5"/>
        <v>16383.456906275971</v>
      </c>
    </row>
    <row r="26" spans="1:11" ht="12">
      <c r="A26" s="42">
        <v>11</v>
      </c>
      <c r="B26" s="45">
        <v>2018</v>
      </c>
      <c r="C26" s="46">
        <f t="shared" si="6"/>
        <v>242.73041596233872</v>
      </c>
      <c r="D26" s="47">
        <f t="shared" si="0"/>
        <v>88596.60182625364</v>
      </c>
      <c r="E26" s="47">
        <f t="shared" si="7"/>
        <v>2694304.3282110654</v>
      </c>
      <c r="F26" s="47">
        <v>95</v>
      </c>
      <c r="G26" s="47">
        <f t="shared" si="1"/>
        <v>2559589.1118005123</v>
      </c>
      <c r="H26" s="47">
        <f t="shared" si="2"/>
        <v>292.1905378767708</v>
      </c>
      <c r="I26" s="48">
        <f t="shared" si="3"/>
        <v>898.0062439840916</v>
      </c>
      <c r="J26" s="49">
        <f t="shared" si="4"/>
        <v>44.900312199204585</v>
      </c>
      <c r="K26" s="47">
        <f t="shared" si="5"/>
        <v>17915.224567482626</v>
      </c>
    </row>
    <row r="27" spans="1:11" ht="12">
      <c r="A27" s="42">
        <v>12</v>
      </c>
      <c r="B27" s="45">
        <v>2019</v>
      </c>
      <c r="C27" s="46">
        <f t="shared" si="6"/>
        <v>248.79867636139718</v>
      </c>
      <c r="D27" s="47">
        <f t="shared" si="0"/>
        <v>90811.51687190997</v>
      </c>
      <c r="E27" s="47">
        <f t="shared" si="7"/>
        <v>2925753.304669063</v>
      </c>
      <c r="F27" s="47">
        <v>95</v>
      </c>
      <c r="G27" s="47">
        <f t="shared" si="1"/>
        <v>2779465.6394356103</v>
      </c>
      <c r="H27" s="47">
        <f t="shared" si="2"/>
        <v>317.2905981090879</v>
      </c>
      <c r="I27" s="48">
        <f t="shared" si="3"/>
        <v>975.1477249395895</v>
      </c>
      <c r="J27" s="49">
        <f t="shared" si="4"/>
        <v>48.75738624697948</v>
      </c>
      <c r="K27" s="47">
        <f t="shared" si="5"/>
        <v>19454.197112544807</v>
      </c>
    </row>
    <row r="28" spans="1:11" ht="12">
      <c r="A28" s="42">
        <v>13</v>
      </c>
      <c r="B28" s="45">
        <v>2020</v>
      </c>
      <c r="C28" s="46">
        <f t="shared" si="6"/>
        <v>255.01864327043208</v>
      </c>
      <c r="D28" s="47">
        <f t="shared" si="0"/>
        <v>93081.8047937077</v>
      </c>
      <c r="E28" s="47">
        <f t="shared" si="7"/>
        <v>3158290.9338229573</v>
      </c>
      <c r="F28" s="47">
        <v>95</v>
      </c>
      <c r="G28" s="47">
        <f t="shared" si="1"/>
        <v>3000376.3871318097</v>
      </c>
      <c r="H28" s="47">
        <f t="shared" si="2"/>
        <v>342.50871999221573</v>
      </c>
      <c r="I28" s="48">
        <f t="shared" si="3"/>
        <v>1052.652051661324</v>
      </c>
      <c r="J28" s="49">
        <f t="shared" si="4"/>
        <v>52.63260258306621</v>
      </c>
      <c r="K28" s="47">
        <f t="shared" si="5"/>
        <v>21000.408430643416</v>
      </c>
    </row>
    <row r="29" spans="1:11" ht="12">
      <c r="A29" s="42">
        <v>14</v>
      </c>
      <c r="B29" s="45">
        <v>2021</v>
      </c>
      <c r="C29" s="46">
        <f t="shared" si="6"/>
        <v>261.39410935219286</v>
      </c>
      <c r="D29" s="47">
        <f t="shared" si="0"/>
        <v>95408.8499135504</v>
      </c>
      <c r="E29" s="47">
        <f t="shared" si="7"/>
        <v>3391922.336303266</v>
      </c>
      <c r="F29" s="47">
        <v>95</v>
      </c>
      <c r="G29" s="47">
        <f t="shared" si="1"/>
        <v>3222326.219488103</v>
      </c>
      <c r="H29" s="47">
        <f t="shared" si="2"/>
        <v>367.8454588456739</v>
      </c>
      <c r="I29" s="48">
        <f t="shared" si="3"/>
        <v>1130.5209308452058</v>
      </c>
      <c r="J29" s="49">
        <f t="shared" si="4"/>
        <v>56.526046542260296</v>
      </c>
      <c r="K29" s="47">
        <f t="shared" si="5"/>
        <v>22553.89257036186</v>
      </c>
    </row>
    <row r="30" spans="1:11" ht="12">
      <c r="A30" s="42">
        <v>15</v>
      </c>
      <c r="B30" s="45">
        <v>2022</v>
      </c>
      <c r="C30" s="46">
        <f t="shared" si="6"/>
        <v>267.9289620859977</v>
      </c>
      <c r="D30" s="47">
        <f t="shared" si="0"/>
        <v>97794.07116138915</v>
      </c>
      <c r="E30" s="47">
        <f t="shared" si="7"/>
        <v>3626652.6568261115</v>
      </c>
      <c r="F30" s="47">
        <v>95</v>
      </c>
      <c r="G30" s="47">
        <f t="shared" si="1"/>
        <v>3445320.023984806</v>
      </c>
      <c r="H30" s="47">
        <f t="shared" si="2"/>
        <v>393.30137260100526</v>
      </c>
      <c r="I30" s="48">
        <f t="shared" si="3"/>
        <v>1208.7560772148292</v>
      </c>
      <c r="J30" s="49">
        <f t="shared" si="4"/>
        <v>60.43780386074147</v>
      </c>
      <c r="K30" s="47">
        <f t="shared" si="5"/>
        <v>24114.68374043584</v>
      </c>
    </row>
    <row r="31" spans="1:11" ht="12">
      <c r="A31" s="42">
        <v>16</v>
      </c>
      <c r="B31" s="45">
        <v>2023</v>
      </c>
      <c r="C31" s="46">
        <f t="shared" si="6"/>
        <v>274.6271861381476</v>
      </c>
      <c r="D31" s="47">
        <f t="shared" si="0"/>
        <v>100238.92294042387</v>
      </c>
      <c r="E31" s="47">
        <f t="shared" si="7"/>
        <v>3862487.064306508</v>
      </c>
      <c r="F31" s="47">
        <v>95</v>
      </c>
      <c r="G31" s="47">
        <f t="shared" si="1"/>
        <v>3669362.711091182</v>
      </c>
      <c r="H31" s="47">
        <f t="shared" si="2"/>
        <v>418.8770218140619</v>
      </c>
      <c r="I31" s="48">
        <f t="shared" si="3"/>
        <v>1287.3592135592303</v>
      </c>
      <c r="J31" s="49">
        <f t="shared" si="4"/>
        <v>64.36796067796152</v>
      </c>
      <c r="K31" s="47">
        <f t="shared" si="5"/>
        <v>25682.816310506645</v>
      </c>
    </row>
    <row r="32" spans="1:11" ht="12">
      <c r="A32" s="42">
        <v>17</v>
      </c>
      <c r="B32" s="45">
        <v>2024</v>
      </c>
      <c r="C32" s="46">
        <f t="shared" si="6"/>
        <v>281.4928657916012</v>
      </c>
      <c r="D32" s="47">
        <f t="shared" si="0"/>
        <v>102744.89601393444</v>
      </c>
      <c r="E32" s="47">
        <f t="shared" si="7"/>
        <v>4099430.7519721864</v>
      </c>
      <c r="F32" s="47">
        <v>95</v>
      </c>
      <c r="G32" s="47">
        <f t="shared" si="1"/>
        <v>3894459.2143735774</v>
      </c>
      <c r="H32" s="47">
        <f t="shared" si="2"/>
        <v>444.572969677349</v>
      </c>
      <c r="I32" s="48">
        <f t="shared" si="3"/>
        <v>1366.3320707708258</v>
      </c>
      <c r="J32" s="49">
        <f t="shared" si="4"/>
        <v>68.31660353854129</v>
      </c>
      <c r="K32" s="47">
        <f t="shared" si="5"/>
        <v>27258.324811877974</v>
      </c>
    </row>
    <row r="33" spans="1:11" ht="12">
      <c r="A33" s="42">
        <v>18</v>
      </c>
      <c r="B33" s="45">
        <v>2025</v>
      </c>
      <c r="C33" s="46">
        <f t="shared" si="6"/>
        <v>288.5301874363912</v>
      </c>
      <c r="D33" s="47">
        <f t="shared" si="0"/>
        <v>105313.5184142828</v>
      </c>
      <c r="E33" s="47">
        <f t="shared" si="7"/>
        <v>4337488.937477952</v>
      </c>
      <c r="F33" s="47">
        <v>95</v>
      </c>
      <c r="G33" s="47">
        <f t="shared" si="1"/>
        <v>4120614.490604054</v>
      </c>
      <c r="H33" s="47">
        <f t="shared" si="2"/>
        <v>470.3897820324263</v>
      </c>
      <c r="I33" s="48">
        <f t="shared" si="3"/>
        <v>1445.6763878835263</v>
      </c>
      <c r="J33" s="49">
        <f t="shared" si="4"/>
        <v>72.28381939417632</v>
      </c>
      <c r="K33" s="47">
        <f t="shared" si="5"/>
        <v>28841.243938276348</v>
      </c>
    </row>
    <row r="34" spans="1:11" ht="12">
      <c r="A34" s="42">
        <v>19</v>
      </c>
      <c r="B34" s="45">
        <v>2026</v>
      </c>
      <c r="C34" s="46">
        <f t="shared" si="6"/>
        <v>295.74344212230096</v>
      </c>
      <c r="D34" s="47">
        <f t="shared" si="0"/>
        <v>107946.35637463986</v>
      </c>
      <c r="E34" s="47">
        <f t="shared" si="7"/>
        <v>4576666.863020581</v>
      </c>
      <c r="F34" s="47">
        <v>95</v>
      </c>
      <c r="G34" s="47">
        <f t="shared" si="1"/>
        <v>4347833.519869552</v>
      </c>
      <c r="H34" s="47">
        <f t="shared" si="2"/>
        <v>496.32802738236893</v>
      </c>
      <c r="I34" s="48">
        <f t="shared" si="3"/>
        <v>1525.3939121110334</v>
      </c>
      <c r="J34" s="49">
        <f t="shared" si="4"/>
        <v>76.26969560555168</v>
      </c>
      <c r="K34" s="47">
        <f t="shared" si="5"/>
        <v>30431.608546615113</v>
      </c>
    </row>
    <row r="35" spans="1:11" ht="12">
      <c r="A35" s="42">
        <v>20</v>
      </c>
      <c r="B35" s="45">
        <v>2027</v>
      </c>
      <c r="C35" s="46">
        <f t="shared" si="6"/>
        <v>303.13702817535847</v>
      </c>
      <c r="D35" s="47">
        <f t="shared" si="0"/>
        <v>110645.01528400584</v>
      </c>
      <c r="E35" s="47">
        <f t="shared" si="7"/>
        <v>4816969.795454257</v>
      </c>
      <c r="F35" s="47">
        <v>95</v>
      </c>
      <c r="G35" s="47">
        <f t="shared" si="1"/>
        <v>4576121.305681544</v>
      </c>
      <c r="H35" s="47">
        <f t="shared" si="2"/>
        <v>522.3882769042859</v>
      </c>
      <c r="I35" s="48">
        <f t="shared" si="3"/>
        <v>1605.4863988853128</v>
      </c>
      <c r="J35" s="49">
        <f t="shared" si="4"/>
        <v>80.27431994426564</v>
      </c>
      <c r="K35" s="47">
        <f t="shared" si="5"/>
        <v>32029.45365776199</v>
      </c>
    </row>
    <row r="36" spans="4:11" ht="12">
      <c r="D36" s="56">
        <f>SUM(D15:D35)</f>
        <v>1835508.1146442457</v>
      </c>
      <c r="F36" s="50"/>
      <c r="J36" s="52" t="s">
        <v>258</v>
      </c>
      <c r="K36" s="53">
        <f>SUM(K15:K35)</f>
        <v>342442.85764469363</v>
      </c>
    </row>
  </sheetData>
  <sheetProtection/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2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106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PIGARS'!E16</f>
        <v>181.21636</v>
      </c>
      <c r="D15" s="47">
        <f aca="true" t="shared" si="0" ref="D15:D35">+C15*365</f>
        <v>66143.97140000001</v>
      </c>
      <c r="E15" s="47">
        <f>2*$C$3*$C$4*D15*EXP(-1*$C$3*A15)</f>
        <v>214306.46733600003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185.746769</v>
      </c>
      <c r="D16" s="47">
        <f t="shared" si="0"/>
        <v>67797.570685</v>
      </c>
      <c r="E16" s="47">
        <f aca="true" t="shared" si="7" ref="E16:E35">2*$C$3*$C$4*D16*EXP(-1*$C$3*A16)+E15</f>
        <v>429620.9551738999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190.390438225</v>
      </c>
      <c r="D17" s="47">
        <f t="shared" si="0"/>
        <v>69492.509952125</v>
      </c>
      <c r="E17" s="47">
        <f t="shared" si="7"/>
        <v>645948.2048793936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195.15019918062498</v>
      </c>
      <c r="D18" s="47">
        <f t="shared" si="0"/>
        <v>71229.82270092811</v>
      </c>
      <c r="E18" s="47">
        <f t="shared" si="7"/>
        <v>863292.9801198533</v>
      </c>
      <c r="F18" s="47">
        <v>95</v>
      </c>
      <c r="G18" s="47">
        <f t="shared" si="1"/>
        <v>820128.3311138606</v>
      </c>
      <c r="H18" s="47">
        <f t="shared" si="2"/>
        <v>93.62195560660508</v>
      </c>
      <c r="I18" s="48">
        <f t="shared" si="3"/>
        <v>287.73382368798684</v>
      </c>
      <c r="J18" s="49">
        <f t="shared" si="4"/>
        <v>14.386691184399343</v>
      </c>
      <c r="K18" s="47">
        <f t="shared" si="5"/>
        <v>5740.289782575337</v>
      </c>
    </row>
    <row r="19" spans="1:11" ht="12">
      <c r="A19" s="42">
        <v>4</v>
      </c>
      <c r="B19" s="45">
        <v>2011</v>
      </c>
      <c r="C19" s="46">
        <f t="shared" si="6"/>
        <v>200.0289541601406</v>
      </c>
      <c r="D19" s="47">
        <f t="shared" si="0"/>
        <v>73010.56826845132</v>
      </c>
      <c r="E19" s="47">
        <f t="shared" si="7"/>
        <v>1081660.0669692282</v>
      </c>
      <c r="F19" s="47">
        <v>95</v>
      </c>
      <c r="G19" s="47">
        <f t="shared" si="1"/>
        <v>1027577.0636207669</v>
      </c>
      <c r="H19" s="47">
        <f t="shared" si="2"/>
        <v>117.30331776492773</v>
      </c>
      <c r="I19" s="48">
        <f t="shared" si="3"/>
        <v>360.51513700070984</v>
      </c>
      <c r="J19" s="49">
        <f t="shared" si="4"/>
        <v>18.025756850035492</v>
      </c>
      <c r="K19" s="47">
        <f t="shared" si="5"/>
        <v>7192.276983164162</v>
      </c>
    </row>
    <row r="20" spans="1:11" ht="12">
      <c r="A20" s="42">
        <v>5</v>
      </c>
      <c r="B20" s="45">
        <v>2012</v>
      </c>
      <c r="C20" s="46">
        <f t="shared" si="6"/>
        <v>205.02967801414408</v>
      </c>
      <c r="D20" s="47">
        <f t="shared" si="0"/>
        <v>74835.83247516259</v>
      </c>
      <c r="E20" s="47">
        <f t="shared" si="7"/>
        <v>1301054.2740134369</v>
      </c>
      <c r="F20" s="47">
        <v>95</v>
      </c>
      <c r="G20" s="47">
        <f t="shared" si="1"/>
        <v>1236001.5603127652</v>
      </c>
      <c r="H20" s="47">
        <f t="shared" si="2"/>
        <v>141.09606852885446</v>
      </c>
      <c r="I20" s="48">
        <f t="shared" si="3"/>
        <v>433.6387874201305</v>
      </c>
      <c r="J20" s="49">
        <f t="shared" si="4"/>
        <v>21.681939371006525</v>
      </c>
      <c r="K20" s="47">
        <f t="shared" si="5"/>
        <v>8651.093809031603</v>
      </c>
    </row>
    <row r="21" spans="1:11" ht="12">
      <c r="A21" s="42">
        <v>6</v>
      </c>
      <c r="B21" s="45">
        <v>2013</v>
      </c>
      <c r="C21" s="46">
        <f t="shared" si="6"/>
        <v>210.15541996449767</v>
      </c>
      <c r="D21" s="47">
        <f t="shared" si="0"/>
        <v>76706.72828704165</v>
      </c>
      <c r="E21" s="47">
        <f t="shared" si="7"/>
        <v>1521480.432456256</v>
      </c>
      <c r="F21" s="47">
        <v>95</v>
      </c>
      <c r="G21" s="47">
        <f t="shared" si="1"/>
        <v>1445406.410833443</v>
      </c>
      <c r="H21" s="47">
        <f t="shared" si="2"/>
        <v>165.00073183030173</v>
      </c>
      <c r="I21" s="48">
        <f t="shared" si="3"/>
        <v>507.1063851768051</v>
      </c>
      <c r="J21" s="49">
        <f t="shared" si="4"/>
        <v>25.355319258840254</v>
      </c>
      <c r="K21" s="47">
        <f t="shared" si="5"/>
        <v>10116.772384277261</v>
      </c>
    </row>
    <row r="22" spans="1:11" ht="12">
      <c r="A22" s="42">
        <v>7</v>
      </c>
      <c r="B22" s="45">
        <v>2014</v>
      </c>
      <c r="C22" s="46">
        <f t="shared" si="6"/>
        <v>215.40930546361008</v>
      </c>
      <c r="D22" s="47">
        <f t="shared" si="0"/>
        <v>78624.39649421768</v>
      </c>
      <c r="E22" s="47">
        <f t="shared" si="7"/>
        <v>1742943.3962257055</v>
      </c>
      <c r="F22" s="47">
        <v>95</v>
      </c>
      <c r="G22" s="47">
        <f t="shared" si="1"/>
        <v>1655796.2264144204</v>
      </c>
      <c r="H22" s="47">
        <f t="shared" si="2"/>
        <v>189.0178340655731</v>
      </c>
      <c r="I22" s="48">
        <f t="shared" si="3"/>
        <v>580.9195480752352</v>
      </c>
      <c r="J22" s="49">
        <f t="shared" si="4"/>
        <v>29.04597740376176</v>
      </c>
      <c r="K22" s="47">
        <f t="shared" si="5"/>
        <v>11589.344984100942</v>
      </c>
    </row>
    <row r="23" spans="1:11" ht="12">
      <c r="A23" s="42">
        <v>8</v>
      </c>
      <c r="B23" s="45">
        <v>2015</v>
      </c>
      <c r="C23" s="46">
        <f t="shared" si="6"/>
        <v>220.79453810020033</v>
      </c>
      <c r="D23" s="47">
        <f t="shared" si="0"/>
        <v>80590.00640657311</v>
      </c>
      <c r="E23" s="47">
        <f t="shared" si="7"/>
        <v>1965448.042080937</v>
      </c>
      <c r="F23" s="47">
        <v>95</v>
      </c>
      <c r="G23" s="47">
        <f t="shared" si="1"/>
        <v>1867175.63997689</v>
      </c>
      <c r="H23" s="47">
        <f t="shared" si="2"/>
        <v>213.14790410695093</v>
      </c>
      <c r="I23" s="48">
        <f t="shared" si="3"/>
        <v>655.0799015294921</v>
      </c>
      <c r="J23" s="49">
        <f t="shared" si="4"/>
        <v>32.7539950764746</v>
      </c>
      <c r="K23" s="47">
        <f t="shared" si="5"/>
        <v>13068.844035513368</v>
      </c>
    </row>
    <row r="24" spans="1:11" ht="12">
      <c r="A24" s="42">
        <v>9</v>
      </c>
      <c r="B24" s="45">
        <v>2016</v>
      </c>
      <c r="C24" s="46">
        <f t="shared" si="6"/>
        <v>226.3144015527053</v>
      </c>
      <c r="D24" s="47">
        <f t="shared" si="0"/>
        <v>82604.75656673744</v>
      </c>
      <c r="E24" s="47">
        <f t="shared" si="7"/>
        <v>2188999.269719621</v>
      </c>
      <c r="F24" s="47">
        <v>95</v>
      </c>
      <c r="G24" s="47">
        <f t="shared" si="1"/>
        <v>2079549.30623364</v>
      </c>
      <c r="H24" s="47">
        <f t="shared" si="2"/>
        <v>237.39147331434248</v>
      </c>
      <c r="I24" s="48">
        <f t="shared" si="3"/>
        <v>729.5890785990102</v>
      </c>
      <c r="J24" s="49">
        <f t="shared" si="4"/>
        <v>36.479453929950516</v>
      </c>
      <c r="K24" s="47">
        <f t="shared" si="5"/>
        <v>14555.302118050255</v>
      </c>
    </row>
    <row r="25" spans="1:11" ht="12">
      <c r="A25" s="42">
        <v>10</v>
      </c>
      <c r="B25" s="45">
        <v>2017</v>
      </c>
      <c r="C25" s="46">
        <f t="shared" si="6"/>
        <v>231.9722615915229</v>
      </c>
      <c r="D25" s="47">
        <f t="shared" si="0"/>
        <v>84669.87548090586</v>
      </c>
      <c r="E25" s="47">
        <f t="shared" si="7"/>
        <v>2413602.0018858444</v>
      </c>
      <c r="F25" s="47">
        <v>95</v>
      </c>
      <c r="G25" s="47">
        <f t="shared" si="1"/>
        <v>2292921.901791552</v>
      </c>
      <c r="H25" s="47">
        <f t="shared" si="2"/>
        <v>261.7490755469808</v>
      </c>
      <c r="I25" s="48">
        <f t="shared" si="3"/>
        <v>804.448720024548</v>
      </c>
      <c r="J25" s="49">
        <f t="shared" si="4"/>
        <v>40.22243600122741</v>
      </c>
      <c r="K25" s="47">
        <f t="shared" si="5"/>
        <v>16048.751964489733</v>
      </c>
    </row>
    <row r="26" spans="1:11" ht="12">
      <c r="A26" s="42">
        <v>11</v>
      </c>
      <c r="B26" s="45">
        <v>2018</v>
      </c>
      <c r="C26" s="46">
        <f t="shared" si="6"/>
        <v>237.77156813131097</v>
      </c>
      <c r="D26" s="47">
        <f t="shared" si="0"/>
        <v>86786.6223679285</v>
      </c>
      <c r="E26" s="47">
        <f t="shared" si="7"/>
        <v>2639261.1844785092</v>
      </c>
      <c r="F26" s="47">
        <v>95</v>
      </c>
      <c r="G26" s="47">
        <f t="shared" si="1"/>
        <v>2507298.1252545835</v>
      </c>
      <c r="H26" s="47">
        <f t="shared" si="2"/>
        <v>286.2212471751808</v>
      </c>
      <c r="I26" s="48">
        <f t="shared" si="3"/>
        <v>879.660474264318</v>
      </c>
      <c r="J26" s="49">
        <f t="shared" si="4"/>
        <v>43.98302371321591</v>
      </c>
      <c r="K26" s="47">
        <f t="shared" si="5"/>
        <v>17549.226461573147</v>
      </c>
    </row>
    <row r="27" spans="1:11" ht="12">
      <c r="A27" s="42">
        <v>12</v>
      </c>
      <c r="B27" s="45">
        <v>2019</v>
      </c>
      <c r="C27" s="46">
        <f t="shared" si="6"/>
        <v>243.71585733459372</v>
      </c>
      <c r="D27" s="47">
        <f t="shared" si="0"/>
        <v>88956.2879271267</v>
      </c>
      <c r="E27" s="47">
        <f t="shared" si="7"/>
        <v>2865981.7866602466</v>
      </c>
      <c r="F27" s="47">
        <v>95</v>
      </c>
      <c r="G27" s="47">
        <f t="shared" si="1"/>
        <v>2722682.6973272343</v>
      </c>
      <c r="H27" s="47">
        <f t="shared" si="2"/>
        <v>310.80852709215003</v>
      </c>
      <c r="I27" s="48">
        <f t="shared" si="3"/>
        <v>955.2259975302868</v>
      </c>
      <c r="J27" s="49">
        <f t="shared" si="4"/>
        <v>47.76129987651434</v>
      </c>
      <c r="K27" s="47">
        <f t="shared" si="5"/>
        <v>19056.75865072922</v>
      </c>
    </row>
    <row r="28" spans="1:11" ht="12">
      <c r="A28" s="42">
        <v>13</v>
      </c>
      <c r="B28" s="45">
        <v>2020</v>
      </c>
      <c r="C28" s="46">
        <f t="shared" si="6"/>
        <v>249.80875376795854</v>
      </c>
      <c r="D28" s="47">
        <f t="shared" si="0"/>
        <v>91180.19512530486</v>
      </c>
      <c r="E28" s="47">
        <f t="shared" si="7"/>
        <v>3093768.8009668402</v>
      </c>
      <c r="F28" s="47">
        <v>95</v>
      </c>
      <c r="G28" s="47">
        <f t="shared" si="1"/>
        <v>2939080.360918498</v>
      </c>
      <c r="H28" s="47">
        <f t="shared" si="2"/>
        <v>335.51145672585596</v>
      </c>
      <c r="I28" s="48">
        <f t="shared" si="3"/>
        <v>1031.1469538246458</v>
      </c>
      <c r="J28" s="49">
        <f t="shared" si="4"/>
        <v>51.557347691232295</v>
      </c>
      <c r="K28" s="47">
        <f t="shared" si="5"/>
        <v>20571.381728801683</v>
      </c>
    </row>
    <row r="29" spans="1:11" ht="12">
      <c r="A29" s="42">
        <v>14</v>
      </c>
      <c r="B29" s="45">
        <v>2021</v>
      </c>
      <c r="C29" s="46">
        <f t="shared" si="6"/>
        <v>256.05397261215745</v>
      </c>
      <c r="D29" s="47">
        <f t="shared" si="0"/>
        <v>93459.70000343747</v>
      </c>
      <c r="E29" s="47">
        <f t="shared" si="7"/>
        <v>3322627.2434171657</v>
      </c>
      <c r="F29" s="47">
        <v>95</v>
      </c>
      <c r="G29" s="47">
        <f t="shared" si="1"/>
        <v>3156495.8812463074</v>
      </c>
      <c r="H29" s="47">
        <f t="shared" si="2"/>
        <v>360.33058005094836</v>
      </c>
      <c r="I29" s="48">
        <f t="shared" si="3"/>
        <v>1107.4250149764543</v>
      </c>
      <c r="J29" s="49">
        <f t="shared" si="4"/>
        <v>55.37125074882272</v>
      </c>
      <c r="K29" s="47">
        <f t="shared" si="5"/>
        <v>22093.129048780265</v>
      </c>
    </row>
    <row r="30" spans="1:11" ht="12">
      <c r="A30" s="42">
        <v>15</v>
      </c>
      <c r="B30" s="45">
        <v>2022</v>
      </c>
      <c r="C30" s="46">
        <f t="shared" si="6"/>
        <v>262.45532192746134</v>
      </c>
      <c r="D30" s="47">
        <f t="shared" si="0"/>
        <v>95796.19250352339</v>
      </c>
      <c r="E30" s="47">
        <f t="shared" si="7"/>
        <v>3552562.1536236466</v>
      </c>
      <c r="F30" s="47">
        <v>95</v>
      </c>
      <c r="G30" s="47">
        <f t="shared" si="1"/>
        <v>3374934.0459424644</v>
      </c>
      <c r="H30" s="47">
        <f t="shared" si="2"/>
        <v>385.26644360073794</v>
      </c>
      <c r="I30" s="48">
        <f t="shared" si="3"/>
        <v>1184.061860678454</v>
      </c>
      <c r="J30" s="49">
        <f t="shared" si="4"/>
        <v>59.2030930339227</v>
      </c>
      <c r="K30" s="47">
        <f t="shared" si="5"/>
        <v>23622.034120535158</v>
      </c>
    </row>
    <row r="31" spans="1:11" ht="12">
      <c r="A31" s="42">
        <v>16</v>
      </c>
      <c r="B31" s="45">
        <v>2023</v>
      </c>
      <c r="C31" s="46">
        <f t="shared" si="6"/>
        <v>269.0167049756478</v>
      </c>
      <c r="D31" s="47">
        <f t="shared" si="0"/>
        <v>98191.09731611145</v>
      </c>
      <c r="E31" s="47">
        <f t="shared" si="7"/>
        <v>3783578.5949032297</v>
      </c>
      <c r="F31" s="47">
        <v>95</v>
      </c>
      <c r="G31" s="47">
        <f t="shared" si="1"/>
        <v>3594399.6651580688</v>
      </c>
      <c r="H31" s="47">
        <f t="shared" si="2"/>
        <v>410.3195964792316</v>
      </c>
      <c r="I31" s="48">
        <f t="shared" si="3"/>
        <v>1261.0591785240567</v>
      </c>
      <c r="J31" s="49">
        <f t="shared" si="4"/>
        <v>63.05295892620284</v>
      </c>
      <c r="K31" s="47">
        <f t="shared" si="5"/>
        <v>25158.130611554934</v>
      </c>
    </row>
    <row r="32" spans="1:11" ht="12">
      <c r="A32" s="42">
        <v>17</v>
      </c>
      <c r="B32" s="45">
        <v>2024</v>
      </c>
      <c r="C32" s="46">
        <f t="shared" si="6"/>
        <v>275.742122600039</v>
      </c>
      <c r="D32" s="47">
        <f t="shared" si="0"/>
        <v>100645.87474901424</v>
      </c>
      <c r="E32" s="47">
        <f t="shared" si="7"/>
        <v>4015681.654388882</v>
      </c>
      <c r="F32" s="47">
        <v>95</v>
      </c>
      <c r="G32" s="47">
        <f t="shared" si="1"/>
        <v>3814897.571669438</v>
      </c>
      <c r="H32" s="47">
        <f t="shared" si="2"/>
        <v>435.4905903732235</v>
      </c>
      <c r="I32" s="48">
        <f t="shared" si="3"/>
        <v>1338.4186640445055</v>
      </c>
      <c r="J32" s="49">
        <f t="shared" si="4"/>
        <v>66.92093320222527</v>
      </c>
      <c r="K32" s="47">
        <f t="shared" si="5"/>
        <v>26701.452347687882</v>
      </c>
    </row>
    <row r="33" spans="1:11" ht="12">
      <c r="A33" s="42">
        <v>18</v>
      </c>
      <c r="B33" s="45">
        <v>2025</v>
      </c>
      <c r="C33" s="46">
        <f t="shared" si="6"/>
        <v>282.63567566503997</v>
      </c>
      <c r="D33" s="47">
        <f t="shared" si="0"/>
        <v>103162.02161773959</v>
      </c>
      <c r="E33" s="47">
        <f t="shared" si="7"/>
        <v>4248876.443141615</v>
      </c>
      <c r="F33" s="47">
        <v>95</v>
      </c>
      <c r="G33" s="47">
        <f t="shared" si="1"/>
        <v>4036432.620984534</v>
      </c>
      <c r="H33" s="47">
        <f t="shared" si="2"/>
        <v>460.7799795644445</v>
      </c>
      <c r="I33" s="48">
        <f t="shared" si="3"/>
        <v>1416.1420207462138</v>
      </c>
      <c r="J33" s="49">
        <f t="shared" si="4"/>
        <v>70.80710103731069</v>
      </c>
      <c r="K33" s="47">
        <f t="shared" si="5"/>
        <v>28252.033313886965</v>
      </c>
    </row>
    <row r="34" spans="1:11" ht="12">
      <c r="A34" s="42">
        <v>19</v>
      </c>
      <c r="B34" s="45">
        <v>2026</v>
      </c>
      <c r="C34" s="46">
        <f t="shared" si="6"/>
        <v>289.70156755666596</v>
      </c>
      <c r="D34" s="47">
        <f t="shared" si="0"/>
        <v>105741.07215818307</v>
      </c>
      <c r="E34" s="47">
        <f t="shared" si="7"/>
        <v>4483168.09626303</v>
      </c>
      <c r="F34" s="47">
        <v>95</v>
      </c>
      <c r="G34" s="47">
        <f t="shared" si="1"/>
        <v>4259009.691449878</v>
      </c>
      <c r="H34" s="47">
        <f t="shared" si="2"/>
        <v>486.18832094176685</v>
      </c>
      <c r="I34" s="48">
        <f t="shared" si="3"/>
        <v>1494.230960148275</v>
      </c>
      <c r="J34" s="49">
        <f t="shared" si="4"/>
        <v>74.71154800741375</v>
      </c>
      <c r="K34" s="47">
        <f t="shared" si="5"/>
        <v>29809.907654958086</v>
      </c>
    </row>
    <row r="35" spans="1:11" ht="12">
      <c r="A35" s="42">
        <v>20</v>
      </c>
      <c r="B35" s="45">
        <v>2027</v>
      </c>
      <c r="C35" s="46">
        <f t="shared" si="6"/>
        <v>296.9441067455826</v>
      </c>
      <c r="D35" s="47">
        <f t="shared" si="0"/>
        <v>108384.59896213765</v>
      </c>
      <c r="E35" s="47">
        <f t="shared" si="7"/>
        <v>4718561.773008398</v>
      </c>
      <c r="F35" s="47">
        <v>95</v>
      </c>
      <c r="G35" s="47">
        <f t="shared" si="1"/>
        <v>4482633.684357978</v>
      </c>
      <c r="H35" s="47">
        <f t="shared" si="2"/>
        <v>511.7161740134679</v>
      </c>
      <c r="I35" s="48">
        <f t="shared" si="3"/>
        <v>1572.687201820153</v>
      </c>
      <c r="J35" s="49">
        <f t="shared" si="4"/>
        <v>78.63436009100765</v>
      </c>
      <c r="K35" s="47">
        <f t="shared" si="5"/>
        <v>31375.10967631205</v>
      </c>
    </row>
    <row r="36" spans="4:11" ht="12">
      <c r="D36" s="56">
        <f>SUM(D15:D35)</f>
        <v>1798009.7014476496</v>
      </c>
      <c r="F36" s="50"/>
      <c r="J36" s="52" t="s">
        <v>258</v>
      </c>
      <c r="K36" s="53">
        <f>SUM(K15:K35)</f>
        <v>331151.83967602206</v>
      </c>
    </row>
  </sheetData>
  <sheetProtection/>
  <printOptions/>
  <pageMargins left="0.75" right="0.75" top="1" bottom="1" header="0" footer="0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K36"/>
  <sheetViews>
    <sheetView zoomScalePageLayoutView="0" workbookViewId="0" topLeftCell="A11">
      <selection activeCell="A36" sqref="A36:IV36"/>
    </sheetView>
  </sheetViews>
  <sheetFormatPr defaultColWidth="11.421875" defaultRowHeight="12.75"/>
  <cols>
    <col min="1" max="2" width="11.421875" style="42" customWidth="1"/>
    <col min="3" max="3" width="12.28125" style="42" customWidth="1"/>
    <col min="4" max="4" width="12.57421875" style="42" bestFit="1" customWidth="1"/>
    <col min="5" max="5" width="11.421875" style="42" customWidth="1"/>
    <col min="6" max="8" width="12.57421875" style="42" customWidth="1"/>
    <col min="9" max="16384" width="11.421875" style="42" customWidth="1"/>
  </cols>
  <sheetData>
    <row r="2" ht="12">
      <c r="B2" s="51" t="s">
        <v>264</v>
      </c>
    </row>
    <row r="3" spans="2:3" ht="12">
      <c r="B3" s="42" t="s">
        <v>245</v>
      </c>
      <c r="C3" s="42">
        <v>0.02</v>
      </c>
    </row>
    <row r="4" spans="2:4" ht="12">
      <c r="B4" s="42" t="s">
        <v>243</v>
      </c>
      <c r="C4" s="42">
        <v>81</v>
      </c>
      <c r="D4" s="42" t="s">
        <v>246</v>
      </c>
    </row>
    <row r="5" spans="2:3" ht="12">
      <c r="B5" s="42" t="s">
        <v>252</v>
      </c>
      <c r="C5" s="42">
        <v>1.025</v>
      </c>
    </row>
    <row r="6" spans="2:3" ht="12">
      <c r="B6" s="42" t="s">
        <v>247</v>
      </c>
      <c r="C6" s="42">
        <v>0.5</v>
      </c>
    </row>
    <row r="7" spans="2:4" ht="12">
      <c r="B7" s="42" t="s">
        <v>248</v>
      </c>
      <c r="C7" s="42">
        <v>0.000716</v>
      </c>
      <c r="D7" s="42" t="s">
        <v>253</v>
      </c>
    </row>
    <row r="8" spans="2:3" ht="12">
      <c r="B8" s="42" t="s">
        <v>249</v>
      </c>
      <c r="C8" s="42">
        <v>0.98</v>
      </c>
    </row>
    <row r="9" spans="2:3" ht="12">
      <c r="B9" s="42" t="s">
        <v>254</v>
      </c>
      <c r="C9" s="42">
        <v>0.05</v>
      </c>
    </row>
    <row r="10" spans="2:3" ht="12">
      <c r="B10" s="42" t="s">
        <v>257</v>
      </c>
      <c r="C10" s="42">
        <v>21</v>
      </c>
    </row>
    <row r="12" spans="2:3" ht="12">
      <c r="B12" s="43" t="s">
        <v>305</v>
      </c>
      <c r="C12" s="43"/>
    </row>
    <row r="14" spans="2:11" s="44" customFormat="1" ht="41.25" customHeight="1">
      <c r="B14" s="54" t="s">
        <v>244</v>
      </c>
      <c r="C14" s="54" t="s">
        <v>260</v>
      </c>
      <c r="D14" s="54" t="s">
        <v>261</v>
      </c>
      <c r="E14" s="54" t="s">
        <v>262</v>
      </c>
      <c r="F14" s="54" t="s">
        <v>263</v>
      </c>
      <c r="G14" s="54" t="s">
        <v>250</v>
      </c>
      <c r="H14" s="54" t="s">
        <v>251</v>
      </c>
      <c r="I14" s="54" t="s">
        <v>255</v>
      </c>
      <c r="J14" s="54" t="s">
        <v>256</v>
      </c>
      <c r="K14" s="54" t="s">
        <v>259</v>
      </c>
    </row>
    <row r="15" spans="1:11" ht="12">
      <c r="A15" s="42">
        <v>0</v>
      </c>
      <c r="B15" s="45">
        <v>2007</v>
      </c>
      <c r="C15" s="46">
        <f>+' municipaliddes con PIGARS'!E17</f>
        <v>174.32324000000003</v>
      </c>
      <c r="D15" s="47">
        <f aca="true" t="shared" si="0" ref="D15:D35">+C15*365</f>
        <v>63627.98260000001</v>
      </c>
      <c r="E15" s="47">
        <f>2*$C$3*$C$4*D15*EXP(-1*$C$3*A15)</f>
        <v>206154.66362400004</v>
      </c>
      <c r="F15" s="47">
        <v>0</v>
      </c>
      <c r="G15" s="47">
        <f aca="true" t="shared" si="1" ref="G15:G35">+F15*E15/100</f>
        <v>0</v>
      </c>
      <c r="H15" s="47">
        <f aca="true" t="shared" si="2" ref="H15:H35">+G15/(24*365)</f>
        <v>0</v>
      </c>
      <c r="I15" s="48">
        <f aca="true" t="shared" si="3" ref="I15:I35">+G15*$C$6*$C$7*$C$8</f>
        <v>0</v>
      </c>
      <c r="J15" s="49">
        <f aca="true" t="shared" si="4" ref="J15:J35">+I15*$C$9</f>
        <v>0</v>
      </c>
      <c r="K15" s="47">
        <f aca="true" t="shared" si="5" ref="K15:K35">+(I15-J15)*21</f>
        <v>0</v>
      </c>
    </row>
    <row r="16" spans="1:11" ht="12">
      <c r="A16" s="42">
        <v>1</v>
      </c>
      <c r="B16" s="45">
        <v>2008</v>
      </c>
      <c r="C16" s="46">
        <f aca="true" t="shared" si="6" ref="C16:C35">+C15*$C$5</f>
        <v>178.68132100000003</v>
      </c>
      <c r="D16" s="47">
        <f t="shared" si="0"/>
        <v>65218.682165000006</v>
      </c>
      <c r="E16" s="47">
        <f aca="true" t="shared" si="7" ref="E16:E35">2*$C$3*$C$4*D16*EXP(-1*$C$3*A16)+E15</f>
        <v>413279.00459875143</v>
      </c>
      <c r="F16" s="47">
        <v>0</v>
      </c>
      <c r="G16" s="47">
        <f t="shared" si="1"/>
        <v>0</v>
      </c>
      <c r="H16" s="47">
        <f t="shared" si="2"/>
        <v>0</v>
      </c>
      <c r="I16" s="48">
        <f t="shared" si="3"/>
        <v>0</v>
      </c>
      <c r="J16" s="49">
        <f t="shared" si="4"/>
        <v>0</v>
      </c>
      <c r="K16" s="47">
        <f t="shared" si="5"/>
        <v>0</v>
      </c>
    </row>
    <row r="17" spans="1:11" ht="12">
      <c r="A17" s="42">
        <v>2</v>
      </c>
      <c r="B17" s="45">
        <v>2009</v>
      </c>
      <c r="C17" s="46">
        <f t="shared" si="6"/>
        <v>183.148354025</v>
      </c>
      <c r="D17" s="47">
        <f t="shared" si="0"/>
        <v>66849.149219125</v>
      </c>
      <c r="E17" s="47">
        <f t="shared" si="7"/>
        <v>621377.5839375634</v>
      </c>
      <c r="F17" s="47">
        <v>0</v>
      </c>
      <c r="G17" s="47">
        <f t="shared" si="1"/>
        <v>0</v>
      </c>
      <c r="H17" s="47">
        <f t="shared" si="2"/>
        <v>0</v>
      </c>
      <c r="I17" s="48">
        <f t="shared" si="3"/>
        <v>0</v>
      </c>
      <c r="J17" s="49">
        <f t="shared" si="4"/>
        <v>0</v>
      </c>
      <c r="K17" s="47">
        <f t="shared" si="5"/>
        <v>0</v>
      </c>
    </row>
    <row r="18" spans="1:11" ht="12">
      <c r="A18" s="42">
        <v>3</v>
      </c>
      <c r="B18" s="45">
        <v>2010</v>
      </c>
      <c r="C18" s="46">
        <f t="shared" si="6"/>
        <v>187.727062875625</v>
      </c>
      <c r="D18" s="47">
        <f t="shared" si="0"/>
        <v>68520.37794960312</v>
      </c>
      <c r="E18" s="47">
        <f t="shared" si="7"/>
        <v>830454.9841071104</v>
      </c>
      <c r="F18" s="47">
        <v>95</v>
      </c>
      <c r="G18" s="47">
        <f t="shared" si="1"/>
        <v>788932.2349017549</v>
      </c>
      <c r="H18" s="47">
        <f t="shared" si="2"/>
        <v>90.06075740887613</v>
      </c>
      <c r="I18" s="48">
        <f t="shared" si="3"/>
        <v>276.7889852929316</v>
      </c>
      <c r="J18" s="49">
        <f t="shared" si="4"/>
        <v>13.839449264646582</v>
      </c>
      <c r="K18" s="47">
        <f t="shared" si="5"/>
        <v>5521.940256593985</v>
      </c>
    </row>
    <row r="19" spans="1:11" ht="12">
      <c r="A19" s="42">
        <v>4</v>
      </c>
      <c r="B19" s="45">
        <v>2011</v>
      </c>
      <c r="C19" s="46">
        <f t="shared" si="6"/>
        <v>192.4202394475156</v>
      </c>
      <c r="D19" s="47">
        <f t="shared" si="0"/>
        <v>70233.3873983432</v>
      </c>
      <c r="E19" s="47">
        <f t="shared" si="7"/>
        <v>1040515.8091283415</v>
      </c>
      <c r="F19" s="47">
        <v>95</v>
      </c>
      <c r="G19" s="47">
        <f t="shared" si="1"/>
        <v>988490.0186719245</v>
      </c>
      <c r="H19" s="47">
        <f t="shared" si="2"/>
        <v>112.84132633241147</v>
      </c>
      <c r="I19" s="48">
        <f t="shared" si="3"/>
        <v>346.801838150858</v>
      </c>
      <c r="J19" s="49">
        <f t="shared" si="4"/>
        <v>17.3400919075429</v>
      </c>
      <c r="K19" s="47">
        <f t="shared" si="5"/>
        <v>6918.696671109617</v>
      </c>
    </row>
    <row r="20" spans="1:11" ht="12">
      <c r="A20" s="42">
        <v>5</v>
      </c>
      <c r="B20" s="45">
        <v>2012</v>
      </c>
      <c r="C20" s="46">
        <f t="shared" si="6"/>
        <v>197.23074543370348</v>
      </c>
      <c r="D20" s="47">
        <f t="shared" si="0"/>
        <v>71989.22208330176</v>
      </c>
      <c r="E20" s="47">
        <f t="shared" si="7"/>
        <v>1251564.684677863</v>
      </c>
      <c r="F20" s="47">
        <v>95</v>
      </c>
      <c r="G20" s="47">
        <f t="shared" si="1"/>
        <v>1188986.4504439698</v>
      </c>
      <c r="H20" s="47">
        <f t="shared" si="2"/>
        <v>135.72904685433446</v>
      </c>
      <c r="I20" s="48">
        <f t="shared" si="3"/>
        <v>417.14400627376233</v>
      </c>
      <c r="J20" s="49">
        <f t="shared" si="4"/>
        <v>20.857200313688118</v>
      </c>
      <c r="K20" s="47">
        <f t="shared" si="5"/>
        <v>8322.022925161558</v>
      </c>
    </row>
    <row r="21" spans="1:11" ht="12">
      <c r="A21" s="42">
        <v>6</v>
      </c>
      <c r="B21" s="45">
        <v>2013</v>
      </c>
      <c r="C21" s="46">
        <f t="shared" si="6"/>
        <v>202.16151406954606</v>
      </c>
      <c r="D21" s="47">
        <f t="shared" si="0"/>
        <v>73788.95263538431</v>
      </c>
      <c r="E21" s="47">
        <f t="shared" si="7"/>
        <v>1463606.2581897995</v>
      </c>
      <c r="F21" s="47">
        <v>95</v>
      </c>
      <c r="G21" s="47">
        <f t="shared" si="1"/>
        <v>1390425.9452803095</v>
      </c>
      <c r="H21" s="47">
        <f t="shared" si="2"/>
        <v>158.72442297720428</v>
      </c>
      <c r="I21" s="48">
        <f t="shared" si="3"/>
        <v>487.81703864214376</v>
      </c>
      <c r="J21" s="49">
        <f t="shared" si="4"/>
        <v>24.39085193210719</v>
      </c>
      <c r="K21" s="47">
        <f t="shared" si="5"/>
        <v>9731.949920910769</v>
      </c>
    </row>
    <row r="22" spans="1:11" ht="12">
      <c r="A22" s="42">
        <v>7</v>
      </c>
      <c r="B22" s="45">
        <v>2014</v>
      </c>
      <c r="C22" s="46">
        <f t="shared" si="6"/>
        <v>207.21555192128469</v>
      </c>
      <c r="D22" s="47">
        <f t="shared" si="0"/>
        <v>75633.67645126891</v>
      </c>
      <c r="E22" s="47">
        <f t="shared" si="7"/>
        <v>1676645.1989581333</v>
      </c>
      <c r="F22" s="47">
        <v>95</v>
      </c>
      <c r="G22" s="47">
        <f t="shared" si="1"/>
        <v>1592812.9390102266</v>
      </c>
      <c r="H22" s="47">
        <f t="shared" si="2"/>
        <v>181.82796107422678</v>
      </c>
      <c r="I22" s="48">
        <f t="shared" si="3"/>
        <v>558.8224915223478</v>
      </c>
      <c r="J22" s="49">
        <f t="shared" si="4"/>
        <v>27.941124576117392</v>
      </c>
      <c r="K22" s="47">
        <f t="shared" si="5"/>
        <v>11148.508705870838</v>
      </c>
    </row>
    <row r="23" spans="1:11" ht="12">
      <c r="A23" s="42">
        <v>8</v>
      </c>
      <c r="B23" s="45">
        <v>2015</v>
      </c>
      <c r="C23" s="46">
        <f t="shared" si="6"/>
        <v>212.3959407193168</v>
      </c>
      <c r="D23" s="47">
        <f t="shared" si="0"/>
        <v>77524.51836255063</v>
      </c>
      <c r="E23" s="47">
        <f t="shared" si="7"/>
        <v>1890686.1982395255</v>
      </c>
      <c r="F23" s="47">
        <v>95</v>
      </c>
      <c r="G23" s="47">
        <f t="shared" si="1"/>
        <v>1796151.8883275494</v>
      </c>
      <c r="H23" s="47">
        <f t="shared" si="2"/>
        <v>205.04016990040517</v>
      </c>
      <c r="I23" s="48">
        <f t="shared" si="3"/>
        <v>630.1619285008373</v>
      </c>
      <c r="J23" s="49">
        <f t="shared" si="4"/>
        <v>31.50809642504187</v>
      </c>
      <c r="K23" s="47">
        <f t="shared" si="5"/>
        <v>12571.730473591704</v>
      </c>
    </row>
    <row r="24" spans="1:11" ht="12">
      <c r="A24" s="42">
        <v>9</v>
      </c>
      <c r="B24" s="45">
        <v>2016</v>
      </c>
      <c r="C24" s="46">
        <f t="shared" si="6"/>
        <v>217.7058392372997</v>
      </c>
      <c r="D24" s="47">
        <f t="shared" si="0"/>
        <v>79462.63132161439</v>
      </c>
      <c r="E24" s="47">
        <f t="shared" si="7"/>
        <v>2105733.96935662</v>
      </c>
      <c r="F24" s="47">
        <v>95</v>
      </c>
      <c r="G24" s="47">
        <f t="shared" si="1"/>
        <v>2000447.2708887893</v>
      </c>
      <c r="H24" s="47">
        <f t="shared" si="2"/>
        <v>228.36156060374307</v>
      </c>
      <c r="I24" s="48">
        <f t="shared" si="3"/>
        <v>701.8369205186228</v>
      </c>
      <c r="J24" s="49">
        <f t="shared" si="4"/>
        <v>35.09184602593114</v>
      </c>
      <c r="K24" s="47">
        <f t="shared" si="5"/>
        <v>14001.646564346527</v>
      </c>
    </row>
    <row r="25" spans="1:11" ht="12">
      <c r="A25" s="42">
        <v>10</v>
      </c>
      <c r="B25" s="45">
        <v>2017</v>
      </c>
      <c r="C25" s="46">
        <f t="shared" si="6"/>
        <v>223.14848521823217</v>
      </c>
      <c r="D25" s="47">
        <f t="shared" si="0"/>
        <v>81449.19710465474</v>
      </c>
      <c r="E25" s="47">
        <f t="shared" si="7"/>
        <v>2321793.2478018347</v>
      </c>
      <c r="F25" s="47">
        <v>95</v>
      </c>
      <c r="G25" s="47">
        <f t="shared" si="1"/>
        <v>2205703.585411743</v>
      </c>
      <c r="H25" s="47">
        <f t="shared" si="2"/>
        <v>251.79264673650033</v>
      </c>
      <c r="I25" s="48">
        <f t="shared" si="3"/>
        <v>773.8490459058557</v>
      </c>
      <c r="J25" s="49">
        <f t="shared" si="4"/>
        <v>38.69245229529279</v>
      </c>
      <c r="K25" s="47">
        <f t="shared" si="5"/>
        <v>15438.28846582182</v>
      </c>
    </row>
    <row r="26" spans="1:11" ht="12">
      <c r="A26" s="42">
        <v>11</v>
      </c>
      <c r="B26" s="45">
        <v>2018</v>
      </c>
      <c r="C26" s="46">
        <f t="shared" si="6"/>
        <v>228.72719734868795</v>
      </c>
      <c r="D26" s="47">
        <f t="shared" si="0"/>
        <v>83485.42703227111</v>
      </c>
      <c r="E26" s="47">
        <f t="shared" si="7"/>
        <v>2538868.791341639</v>
      </c>
      <c r="F26" s="47">
        <v>95</v>
      </c>
      <c r="G26" s="47">
        <f t="shared" si="1"/>
        <v>2411925.351774557</v>
      </c>
      <c r="H26" s="47">
        <f t="shared" si="2"/>
        <v>275.33394426650193</v>
      </c>
      <c r="I26" s="48">
        <f t="shared" si="3"/>
        <v>846.1998904165855</v>
      </c>
      <c r="J26" s="49">
        <f t="shared" si="4"/>
        <v>42.30999452082928</v>
      </c>
      <c r="K26" s="47">
        <f t="shared" si="5"/>
        <v>16881.68781381088</v>
      </c>
    </row>
    <row r="27" spans="1:11" ht="12">
      <c r="A27" s="42">
        <v>12</v>
      </c>
      <c r="B27" s="45">
        <v>2019</v>
      </c>
      <c r="C27" s="46">
        <f t="shared" si="6"/>
        <v>234.44537728240513</v>
      </c>
      <c r="D27" s="47">
        <f t="shared" si="0"/>
        <v>85572.56270807788</v>
      </c>
      <c r="E27" s="47">
        <f t="shared" si="7"/>
        <v>2756965.380121325</v>
      </c>
      <c r="F27" s="47">
        <v>95</v>
      </c>
      <c r="G27" s="47">
        <f t="shared" si="1"/>
        <v>2619117.111115259</v>
      </c>
      <c r="H27" s="47">
        <f t="shared" si="2"/>
        <v>298.9859715884999</v>
      </c>
      <c r="I27" s="48">
        <f t="shared" si="3"/>
        <v>918.8910472636774</v>
      </c>
      <c r="J27" s="49">
        <f t="shared" si="4"/>
        <v>45.944552363183874</v>
      </c>
      <c r="K27" s="47">
        <f t="shared" si="5"/>
        <v>18331.876392910362</v>
      </c>
    </row>
    <row r="28" spans="1:11" ht="12">
      <c r="A28" s="42">
        <v>13</v>
      </c>
      <c r="B28" s="45">
        <v>2020</v>
      </c>
      <c r="C28" s="46">
        <f t="shared" si="6"/>
        <v>240.30651171446524</v>
      </c>
      <c r="D28" s="47">
        <f t="shared" si="0"/>
        <v>87711.87677577982</v>
      </c>
      <c r="E28" s="47">
        <f t="shared" si="7"/>
        <v>2976087.8167702667</v>
      </c>
      <c r="F28" s="47">
        <v>95</v>
      </c>
      <c r="G28" s="47">
        <f t="shared" si="1"/>
        <v>2827283.4259317536</v>
      </c>
      <c r="H28" s="47">
        <f t="shared" si="2"/>
        <v>322.7492495355883</v>
      </c>
      <c r="I28" s="48">
        <f t="shared" si="3"/>
        <v>991.9241171538964</v>
      </c>
      <c r="J28" s="49">
        <f t="shared" si="4"/>
        <v>49.59620585769483</v>
      </c>
      <c r="K28" s="47">
        <f t="shared" si="5"/>
        <v>19788.886137220234</v>
      </c>
    </row>
    <row r="29" spans="1:11" ht="12">
      <c r="A29" s="42">
        <v>14</v>
      </c>
      <c r="B29" s="45">
        <v>2021</v>
      </c>
      <c r="C29" s="46">
        <f t="shared" si="6"/>
        <v>246.31417450732687</v>
      </c>
      <c r="D29" s="47">
        <f t="shared" si="0"/>
        <v>89904.67369517431</v>
      </c>
      <c r="E29" s="47">
        <f t="shared" si="7"/>
        <v>3196240.9265076783</v>
      </c>
      <c r="F29" s="47">
        <v>95</v>
      </c>
      <c r="G29" s="47">
        <f t="shared" si="1"/>
        <v>3036428.880182294</v>
      </c>
      <c r="H29" s="47">
        <f t="shared" si="2"/>
        <v>346.6243013906728</v>
      </c>
      <c r="I29" s="48">
        <f t="shared" si="3"/>
        <v>1065.3007083231562</v>
      </c>
      <c r="J29" s="49">
        <f t="shared" si="4"/>
        <v>53.265035416157815</v>
      </c>
      <c r="K29" s="47">
        <f t="shared" si="5"/>
        <v>21252.749131046967</v>
      </c>
    </row>
    <row r="30" spans="1:11" ht="12">
      <c r="A30" s="42">
        <v>15</v>
      </c>
      <c r="B30" s="45">
        <v>2022</v>
      </c>
      <c r="C30" s="46">
        <f t="shared" si="6"/>
        <v>252.47202887001</v>
      </c>
      <c r="D30" s="47">
        <f t="shared" si="0"/>
        <v>92152.29053755365</v>
      </c>
      <c r="E30" s="47">
        <f t="shared" si="7"/>
        <v>3417429.55724887</v>
      </c>
      <c r="F30" s="47">
        <v>95</v>
      </c>
      <c r="G30" s="47">
        <f t="shared" si="1"/>
        <v>3246558.079386426</v>
      </c>
      <c r="H30" s="47">
        <f t="shared" si="2"/>
        <v>370.61165289799385</v>
      </c>
      <c r="I30" s="48">
        <f t="shared" si="3"/>
        <v>1139.0224365719337</v>
      </c>
      <c r="J30" s="49">
        <f t="shared" si="4"/>
        <v>56.95112182859668</v>
      </c>
      <c r="K30" s="47">
        <f t="shared" si="5"/>
        <v>22723.49760961008</v>
      </c>
    </row>
    <row r="31" spans="1:11" ht="12">
      <c r="A31" s="42">
        <v>16</v>
      </c>
      <c r="B31" s="45">
        <v>2023</v>
      </c>
      <c r="C31" s="46">
        <f t="shared" si="6"/>
        <v>258.78382959176025</v>
      </c>
      <c r="D31" s="47">
        <f t="shared" si="0"/>
        <v>94456.09780099249</v>
      </c>
      <c r="E31" s="47">
        <f t="shared" si="7"/>
        <v>3639658.579712</v>
      </c>
      <c r="F31" s="47">
        <v>95</v>
      </c>
      <c r="G31" s="47">
        <f t="shared" si="1"/>
        <v>3457675.6507264</v>
      </c>
      <c r="H31" s="47">
        <f t="shared" si="2"/>
        <v>394.71183227470317</v>
      </c>
      <c r="I31" s="48">
        <f t="shared" si="3"/>
        <v>1213.09092530085</v>
      </c>
      <c r="J31" s="49">
        <f t="shared" si="4"/>
        <v>60.6545462650425</v>
      </c>
      <c r="K31" s="47">
        <f t="shared" si="5"/>
        <v>24201.163959751957</v>
      </c>
    </row>
    <row r="32" spans="1:11" ht="12">
      <c r="A32" s="42">
        <v>17</v>
      </c>
      <c r="B32" s="45">
        <v>2024</v>
      </c>
      <c r="C32" s="46">
        <f t="shared" si="6"/>
        <v>265.25342533155424</v>
      </c>
      <c r="D32" s="47">
        <f t="shared" si="0"/>
        <v>96817.5002460173</v>
      </c>
      <c r="E32" s="47">
        <f t="shared" si="7"/>
        <v>3862932.887525333</v>
      </c>
      <c r="F32" s="47">
        <v>95</v>
      </c>
      <c r="G32" s="47">
        <f t="shared" si="1"/>
        <v>3669786.2431490663</v>
      </c>
      <c r="H32" s="47">
        <f t="shared" si="2"/>
        <v>418.92537022249616</v>
      </c>
      <c r="I32" s="48">
        <f t="shared" si="3"/>
        <v>1287.5078055464185</v>
      </c>
      <c r="J32" s="49">
        <f t="shared" si="4"/>
        <v>64.37539027732093</v>
      </c>
      <c r="K32" s="47">
        <f t="shared" si="5"/>
        <v>25685.780720651048</v>
      </c>
    </row>
    <row r="33" spans="1:11" ht="12">
      <c r="A33" s="42">
        <v>18</v>
      </c>
      <c r="B33" s="45">
        <v>2025</v>
      </c>
      <c r="C33" s="46">
        <f t="shared" si="6"/>
        <v>271.88476096484305</v>
      </c>
      <c r="D33" s="47">
        <f t="shared" si="0"/>
        <v>99237.93775216771</v>
      </c>
      <c r="E33" s="47">
        <f t="shared" si="7"/>
        <v>4087257.397334999</v>
      </c>
      <c r="F33" s="47">
        <v>95</v>
      </c>
      <c r="G33" s="47">
        <f t="shared" si="1"/>
        <v>3882894.527468249</v>
      </c>
      <c r="H33" s="47">
        <f t="shared" si="2"/>
        <v>443.25279993929786</v>
      </c>
      <c r="I33" s="48">
        <f t="shared" si="3"/>
        <v>1362.2747160169604</v>
      </c>
      <c r="J33" s="49">
        <f t="shared" si="4"/>
        <v>68.11373580084802</v>
      </c>
      <c r="K33" s="47">
        <f t="shared" si="5"/>
        <v>27177.38058453836</v>
      </c>
    </row>
    <row r="34" spans="1:11" ht="12">
      <c r="A34" s="42">
        <v>19</v>
      </c>
      <c r="B34" s="45">
        <v>2026</v>
      </c>
      <c r="C34" s="46">
        <f t="shared" si="6"/>
        <v>278.6818799889641</v>
      </c>
      <c r="D34" s="47">
        <f t="shared" si="0"/>
        <v>101718.8861959719</v>
      </c>
      <c r="E34" s="47">
        <f t="shared" si="7"/>
        <v>4312637.048913262</v>
      </c>
      <c r="F34" s="47">
        <v>95</v>
      </c>
      <c r="G34" s="47">
        <f t="shared" si="1"/>
        <v>4097005.196467599</v>
      </c>
      <c r="H34" s="47">
        <f t="shared" si="2"/>
        <v>467.6946571310044</v>
      </c>
      <c r="I34" s="48">
        <f t="shared" si="3"/>
        <v>1437.3933031286922</v>
      </c>
      <c r="J34" s="49">
        <f t="shared" si="4"/>
        <v>71.8696651564346</v>
      </c>
      <c r="K34" s="47">
        <f t="shared" si="5"/>
        <v>28675.99639741741</v>
      </c>
    </row>
    <row r="35" spans="1:11" ht="12">
      <c r="A35" s="42">
        <v>20</v>
      </c>
      <c r="B35" s="45">
        <v>2027</v>
      </c>
      <c r="C35" s="46">
        <f t="shared" si="6"/>
        <v>285.6489269886882</v>
      </c>
      <c r="D35" s="47">
        <f t="shared" si="0"/>
        <v>104261.85835087119</v>
      </c>
      <c r="E35" s="47">
        <f t="shared" si="7"/>
        <v>4539076.805267298</v>
      </c>
      <c r="F35" s="47">
        <v>95</v>
      </c>
      <c r="G35" s="47">
        <f t="shared" si="1"/>
        <v>4312122.965003933</v>
      </c>
      <c r="H35" s="47">
        <f t="shared" si="2"/>
        <v>492.25148002328</v>
      </c>
      <c r="I35" s="48">
        <f t="shared" si="3"/>
        <v>1512.8652210419796</v>
      </c>
      <c r="J35" s="49">
        <f t="shared" si="4"/>
        <v>75.64326105209898</v>
      </c>
      <c r="K35" s="47">
        <f t="shared" si="5"/>
        <v>30181.66115978749</v>
      </c>
    </row>
    <row r="36" spans="4:11" ht="12">
      <c r="D36" s="56">
        <f>SUM(D15:D35)</f>
        <v>1729616.888385723</v>
      </c>
      <c r="F36" s="50"/>
      <c r="J36" s="52" t="s">
        <v>258</v>
      </c>
      <c r="K36" s="53">
        <f>SUM(K15:K35)</f>
        <v>318555.46389015164</v>
      </c>
    </row>
  </sheetData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 paz</dc:creator>
  <cp:keywords/>
  <dc:description/>
  <cp:lastModifiedBy>ecaparo</cp:lastModifiedBy>
  <cp:lastPrinted>2006-07-17T20:51:46Z</cp:lastPrinted>
  <dcterms:created xsi:type="dcterms:W3CDTF">2006-07-10T21:44:08Z</dcterms:created>
  <dcterms:modified xsi:type="dcterms:W3CDTF">2009-09-28T15:08:11Z</dcterms:modified>
  <cp:category/>
  <cp:version/>
  <cp:contentType/>
  <cp:contentStatus/>
</cp:coreProperties>
</file>